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Dokumenter\normer\scoring\"/>
    </mc:Choice>
  </mc:AlternateContent>
  <xr:revisionPtr revIDLastSave="0" documentId="13_ncr:1_{E0068787-642F-4758-AF41-26A9E2FB175B}" xr6:coauthVersionLast="47" xr6:coauthVersionMax="47" xr10:uidLastSave="{00000000-0000-0000-0000-000000000000}"/>
  <bookViews>
    <workbookView xWindow="-120" yWindow="-120" windowWidth="25440" windowHeight="15390" tabRatio="919" xr2:uid="{00000000-000D-0000-FFFF-FFFF00000000}"/>
  </bookViews>
  <sheets>
    <sheet name="forside" sheetId="1" r:id="rId1"/>
    <sheet name="forklaring" sheetId="17" r:id="rId2"/>
    <sheet name="SDMT" sheetId="2" state="hidden" r:id="rId3"/>
    <sheet name="RCFT ug" sheetId="3" state="hidden" r:id="rId4"/>
    <sheet name="CCR ug" sheetId="4" state="hidden" r:id="rId5"/>
    <sheet name="CCR fg" sheetId="5" state="hidden" r:id="rId6"/>
    <sheet name="dyr" sheetId="6" state="hidden" r:id="rId7"/>
    <sheet name="S-ord" sheetId="7" state="hidden" r:id="rId8"/>
    <sheet name="5-pkt" sheetId="8" state="hidden" r:id="rId9"/>
    <sheet name="TMT A" sheetId="9" state="hidden" r:id="rId10"/>
    <sheet name="TMT B" sheetId="10" state="hidden" r:id="rId11"/>
    <sheet name="RCFT kopi" sheetId="11" state="hidden" r:id="rId12"/>
    <sheet name="list K" sheetId="12" state="hidden" r:id="rId13"/>
    <sheet name="list M" sheetId="13" state="hidden" r:id="rId14"/>
    <sheet name="RMT ord" sheetId="14" state="hidden" r:id="rId15"/>
    <sheet name="RMT ans" sheetId="15" state="hidden" r:id="rId16"/>
    <sheet name="street" sheetId="16" state="hidden" r:id="rId17"/>
  </sheets>
  <externalReferences>
    <externalReference r:id="rId18"/>
  </externalReferences>
  <definedNames>
    <definedName name="kat_A">'TMT A'!$N$21:$O$29</definedName>
    <definedName name="kat_B">'TMT B'!$I$6:$J$12</definedName>
    <definedName name="kat_listK">'list K'!$I$6:$J$12</definedName>
    <definedName name="kat_listM">'list M'!$I$6:$J$12</definedName>
    <definedName name="kat_RCFT">'RCFT ug'!$H$13:$I$19</definedName>
    <definedName name="L10TMA_res">'TMT A'!#REF!</definedName>
    <definedName name="limit_A">'TMT A'!$M$21:$N$29</definedName>
    <definedName name="limit_B">'TMT B'!$H$6:$I$12</definedName>
    <definedName name="limit_listK">'list K'!$H$6:$I$12</definedName>
    <definedName name="limit_listM">'list M'!$H$6:$I$12</definedName>
    <definedName name="limit_RCFT">'RCFT ug'!$G$13:$H$19</definedName>
    <definedName name="pct_50ans">'RMT ans'!$G$3:$H$23</definedName>
    <definedName name="pct_50ord">'RMT ord'!$G$2:$H$20</definedName>
    <definedName name="RCFT_kopi">'RCFT kopi'!$E$8:$F$23</definedName>
    <definedName name="residual">'TMT A'!$C$45:$D$69</definedName>
    <definedName name="residual_TMTA">'TMT A'!$C$46:$D$69</definedName>
    <definedName name="residual2">'TMT A'!$C$45:$D$69</definedName>
    <definedName name="sdmt">'[1]SDMT data'!$B$2:$D$69</definedName>
    <definedName name="TMTA_log10">'TMT A'!#REF!</definedName>
    <definedName name="TMTA_residual">'TMT A'!#REF!</definedName>
    <definedName name="TMTB_log10">'TMT B'!$S$1:$T$328</definedName>
    <definedName name="TMTB_Log10_316">'TMT B'!$S$2:$T$319</definedName>
    <definedName name="TMTB_residual">'TMT B'!$M$1:$N$324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C5" i="4"/>
  <c r="F31" i="1"/>
  <c r="F25" i="1"/>
  <c r="F24" i="1"/>
  <c r="F21" i="1"/>
  <c r="F20" i="1"/>
  <c r="F17" i="1"/>
  <c r="F16" i="1"/>
  <c r="C3" i="5" l="1"/>
  <c r="C3" i="16"/>
  <c r="C3" i="4"/>
  <c r="C3" i="15"/>
  <c r="C3" i="3"/>
  <c r="C3" i="14"/>
  <c r="C3" i="2"/>
  <c r="C3" i="13"/>
  <c r="C3" i="6"/>
  <c r="C3" i="12"/>
  <c r="C15" i="12" s="1"/>
  <c r="C3" i="7"/>
  <c r="C3" i="11"/>
  <c r="C3" i="10"/>
  <c r="C3" i="9"/>
  <c r="C3" i="8"/>
  <c r="H4" i="3"/>
  <c r="F18" i="1" l="1"/>
  <c r="F26" i="1"/>
  <c r="F30" i="1"/>
  <c r="C5" i="16" l="1"/>
  <c r="C15" i="16"/>
  <c r="C2" i="16"/>
  <c r="C5" i="15"/>
  <c r="E5" i="15" s="1"/>
  <c r="C15" i="15"/>
  <c r="C2" i="15"/>
  <c r="H6" i="15" l="1"/>
  <c r="I31" i="15" s="1" a="1"/>
  <c r="I31" i="15" s="1"/>
  <c r="D25" i="1" s="1"/>
  <c r="G43" i="15"/>
  <c r="G47" i="15" s="1"/>
  <c r="C14" i="16"/>
  <c r="C32" i="1" s="1"/>
  <c r="E32" i="1" s="1"/>
  <c r="C14" i="15"/>
  <c r="C25" i="1" s="1"/>
  <c r="E25" i="1" l="1"/>
  <c r="E14" i="15"/>
  <c r="E19" i="15" s="1"/>
  <c r="G7" i="16"/>
  <c r="D5" i="16" s="1"/>
  <c r="D32" i="1" l="1"/>
  <c r="C26" i="15"/>
  <c r="G50" i="15"/>
  <c r="G51" i="15" s="1"/>
  <c r="G5" i="16"/>
  <c r="F32" i="1" s="1"/>
  <c r="D14" i="16"/>
  <c r="C5" i="14"/>
  <c r="E5" i="14" s="1"/>
  <c r="C15" i="14"/>
  <c r="C2" i="14"/>
  <c r="C14" i="13"/>
  <c r="C27" i="15" l="1"/>
  <c r="H22" i="14"/>
  <c r="D24" i="1" s="1"/>
  <c r="I22" i="14"/>
  <c r="H23" i="14" s="1"/>
  <c r="C14" i="14"/>
  <c r="C24" i="1" s="1"/>
  <c r="E24" i="1" l="1"/>
  <c r="E14" i="14"/>
  <c r="E19" i="14" s="1"/>
  <c r="C26" i="14" s="1"/>
  <c r="C27" i="14" l="1"/>
  <c r="C5" i="13"/>
  <c r="E5" i="13" s="1"/>
  <c r="C2" i="13"/>
  <c r="I14" i="13" s="1"/>
  <c r="H18" i="13" s="1"/>
  <c r="C13" i="13" l="1"/>
  <c r="C21" i="1" s="1"/>
  <c r="E21" i="1" s="1"/>
  <c r="E13" i="13" l="1"/>
  <c r="H2" i="13" s="1"/>
  <c r="H21" i="13" s="1"/>
  <c r="C5" i="12"/>
  <c r="E5" i="12" s="1"/>
  <c r="C2" i="12"/>
  <c r="I14" i="12" l="1"/>
  <c r="H18" i="12" s="1"/>
  <c r="C14" i="12"/>
  <c r="D21" i="1"/>
  <c r="H22" i="13"/>
  <c r="C20" i="1"/>
  <c r="E20" i="1" s="1"/>
  <c r="E14" i="12" l="1"/>
  <c r="H2" i="12" s="1"/>
  <c r="H21" i="12" s="1"/>
  <c r="C5" i="11"/>
  <c r="C15" i="11"/>
  <c r="C2" i="11"/>
  <c r="H6" i="11" s="1"/>
  <c r="I24" i="11" l="1" a="1"/>
  <c r="I24" i="11" s="1"/>
  <c r="D31" i="1" s="1"/>
  <c r="H22" i="12"/>
  <c r="D20" i="1"/>
  <c r="C14" i="11"/>
  <c r="C31" i="1" s="1"/>
  <c r="E31" i="1" s="1"/>
  <c r="C5" i="10"/>
  <c r="E5" i="10" s="1"/>
  <c r="C15" i="10" l="1"/>
  <c r="C2" i="10"/>
  <c r="I14" i="10" s="1"/>
  <c r="H18" i="10" s="1"/>
  <c r="C5" i="9"/>
  <c r="C15" i="9"/>
  <c r="C2" i="9"/>
  <c r="M31" i="9" s="1"/>
  <c r="H9" i="9" s="1"/>
  <c r="D15" i="9" l="1"/>
  <c r="C14" i="10"/>
  <c r="C17" i="1" s="1"/>
  <c r="E17" i="1" s="1"/>
  <c r="C14" i="9"/>
  <c r="C16" i="1" s="1"/>
  <c r="E16" i="1" s="1"/>
  <c r="E14" i="10" l="1"/>
  <c r="E15" i="10" s="1"/>
  <c r="H21" i="10" s="1"/>
  <c r="D14" i="9"/>
  <c r="D16" i="9" s="1"/>
  <c r="H16" i="9" s="1"/>
  <c r="D16" i="1" l="1"/>
  <c r="D17" i="1"/>
  <c r="H17" i="9"/>
  <c r="H22" i="10"/>
  <c r="C2" i="8"/>
  <c r="H11" i="8" s="1"/>
  <c r="H4" i="8" s="1"/>
  <c r="C2" i="7"/>
  <c r="C2" i="6"/>
  <c r="C2" i="5"/>
  <c r="C2" i="4"/>
  <c r="C2" i="3"/>
  <c r="C2" i="2"/>
  <c r="C5" i="8" l="1"/>
  <c r="C15" i="8"/>
  <c r="C14" i="8" l="1"/>
  <c r="C29" i="1" l="1"/>
  <c r="E29" i="1" s="1"/>
  <c r="H3" i="8"/>
  <c r="D5" i="8" s="1"/>
  <c r="D29" i="1" l="1"/>
  <c r="H5" i="8"/>
  <c r="F29" i="1" s="1"/>
  <c r="E5" i="8"/>
  <c r="D14" i="8"/>
  <c r="C5" i="7"/>
  <c r="H11" i="7"/>
  <c r="H4" i="7"/>
  <c r="C15" i="7"/>
  <c r="C14" i="7" l="1"/>
  <c r="C28" i="1" l="1"/>
  <c r="E28" i="1" s="1"/>
  <c r="H3" i="7"/>
  <c r="D5" i="7" s="1"/>
  <c r="D28" i="1" l="1"/>
  <c r="H5" i="7"/>
  <c r="F28" i="1" s="1"/>
  <c r="D14" i="7"/>
  <c r="E5" i="7"/>
  <c r="C5" i="6"/>
  <c r="H11" i="6"/>
  <c r="H4" i="6"/>
  <c r="C15" i="6"/>
  <c r="C14" i="6" l="1"/>
  <c r="C27" i="1" l="1"/>
  <c r="E27" i="1" s="1"/>
  <c r="H3" i="6"/>
  <c r="D5" i="6" s="1"/>
  <c r="D14" i="6" l="1"/>
  <c r="C5" i="5"/>
  <c r="H11" i="5"/>
  <c r="H4" i="5"/>
  <c r="C15" i="5"/>
  <c r="D27" i="1" l="1"/>
  <c r="H5" i="6"/>
  <c r="F27" i="1" s="1"/>
  <c r="E5" i="6"/>
  <c r="C14" i="5"/>
  <c r="C23" i="1" l="1"/>
  <c r="E23" i="1" s="1"/>
  <c r="H3" i="5"/>
  <c r="D5" i="5" s="1"/>
  <c r="D23" i="1" l="1"/>
  <c r="H5" i="5"/>
  <c r="F23" i="1" s="1"/>
  <c r="E5" i="5"/>
  <c r="D14" i="5"/>
  <c r="H11" i="4"/>
  <c r="H4" i="4"/>
  <c r="C14" i="4"/>
  <c r="C22" i="1" l="1"/>
  <c r="E22" i="1" s="1"/>
  <c r="C15" i="4"/>
  <c r="H3" i="4" l="1"/>
  <c r="D5" i="4" l="1"/>
  <c r="H5" i="4" s="1"/>
  <c r="F22" i="1" s="1"/>
  <c r="D14" i="4"/>
  <c r="C5" i="3"/>
  <c r="C15" i="3"/>
  <c r="C15" i="2"/>
  <c r="C5" i="2"/>
  <c r="D22" i="1" l="1"/>
  <c r="E5" i="4"/>
  <c r="C14" i="2"/>
  <c r="C14" i="3"/>
  <c r="G8" i="2"/>
  <c r="C15" i="1" l="1"/>
  <c r="E15" i="1" s="1"/>
  <c r="H3" i="3"/>
  <c r="C19" i="1"/>
  <c r="E19" i="1" s="1"/>
  <c r="D5" i="3" l="1"/>
  <c r="H5" i="3" s="1"/>
  <c r="F19" i="1" s="1"/>
  <c r="D14" i="3"/>
  <c r="G7" i="2"/>
  <c r="D5" i="2" s="1"/>
  <c r="D19" i="1" l="1"/>
  <c r="E5" i="3"/>
  <c r="D14" i="2"/>
  <c r="D15" i="1" l="1"/>
  <c r="G5" i="2"/>
  <c r="F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<sst xmlns="http://schemas.openxmlformats.org/spreadsheetml/2006/main" count="659" uniqueCount="243">
  <si>
    <t>forventet score med korrektion for uddannelse</t>
  </si>
  <si>
    <t>Konstant</t>
  </si>
  <si>
    <t>vægt alder</t>
  </si>
  <si>
    <t>vægt alder2</t>
  </si>
  <si>
    <t>vægt uddannelse</t>
  </si>
  <si>
    <t>Model forventet score</t>
  </si>
  <si>
    <t>råscore</t>
  </si>
  <si>
    <t>percentilværdi</t>
  </si>
  <si>
    <t>SD</t>
  </si>
  <si>
    <t>korrektion for uddannelse udgør</t>
  </si>
  <si>
    <t>forventet mean m korrektion for uddannelse</t>
  </si>
  <si>
    <t>SDMT</t>
  </si>
  <si>
    <t>Model forventet SD</t>
  </si>
  <si>
    <t>Forventet SD</t>
  </si>
  <si>
    <t>Sample uddannelses mean</t>
  </si>
  <si>
    <t>Alder</t>
  </si>
  <si>
    <t>Uddannelse</t>
  </si>
  <si>
    <t>Observeret score</t>
  </si>
  <si>
    <t>100-percentil</t>
  </si>
  <si>
    <t>forventet SD</t>
  </si>
  <si>
    <t>Kategoristyret hukommelsestest, umiddelbar genkaldelse</t>
  </si>
  <si>
    <t>Styret ordmobilisering (dyr)</t>
  </si>
  <si>
    <t>Styret ordmobilisering (S-ord)</t>
  </si>
  <si>
    <t>Fem-punkts test</t>
  </si>
  <si>
    <t>RCFT</t>
  </si>
  <si>
    <t>Sample SD</t>
  </si>
  <si>
    <t>Indtast oplysninger</t>
  </si>
  <si>
    <t>Kategoristyret hukommelsestest, forsinket genkaldelse</t>
  </si>
  <si>
    <t>Styret ordmobilisering: dyr</t>
  </si>
  <si>
    <t>Styret ordmobilisering: S-ord</t>
  </si>
  <si>
    <t>Rey Complex Figure; umiddelbar genkaldelse</t>
  </si>
  <si>
    <t>Testnavn</t>
  </si>
  <si>
    <t>ophæv arkbeskyttelse:kj</t>
  </si>
  <si>
    <t>Symbol Digit Modalities Test (SDMT)</t>
  </si>
  <si>
    <t>Rey Complex Figure; kopiering</t>
  </si>
  <si>
    <t>Recognition Memory Test, genkendelse af 50 ord</t>
  </si>
  <si>
    <t>Recognition Memory Test, genkendelse af 50 ansigter</t>
  </si>
  <si>
    <t>TMT A</t>
  </si>
  <si>
    <t>20-29 år</t>
  </si>
  <si>
    <t>30-39 år</t>
  </si>
  <si>
    <t>40-49 år</t>
  </si>
  <si>
    <t>50-59 år</t>
  </si>
  <si>
    <t>80-84 år</t>
  </si>
  <si>
    <t>60-69 år</t>
  </si>
  <si>
    <t>kategorisering af alder</t>
  </si>
  <si>
    <t>TMT B</t>
  </si>
  <si>
    <t>RCFT kopi</t>
  </si>
  <si>
    <t>20-59 år</t>
  </si>
  <si>
    <t>Listeindlæring, kvinder</t>
  </si>
  <si>
    <t>Listeindlæring, mænd</t>
  </si>
  <si>
    <t>RMT 50 ord</t>
  </si>
  <si>
    <t>RMT 50 ansigter</t>
  </si>
  <si>
    <t>Street</t>
  </si>
  <si>
    <t>70-79 år</t>
  </si>
  <si>
    <t>Navn:</t>
  </si>
  <si>
    <t>CPR-nr:</t>
  </si>
  <si>
    <t>Dato:</t>
  </si>
  <si>
    <t>Værdi</t>
  </si>
  <si>
    <t>Uddannelsestrin</t>
  </si>
  <si>
    <t>Ingen erhvervsuddannelse; ufaglært</t>
  </si>
  <si>
    <t>Specialarbejder</t>
  </si>
  <si>
    <t>Faglært</t>
  </si>
  <si>
    <t>”Længere teoretisk” (ikke akademisk)</t>
  </si>
  <si>
    <t>Akademisk</t>
  </si>
  <si>
    <t>Scoringsprogram</t>
  </si>
  <si>
    <t>Indtast alder, skolegang og uddannelse samt en eller flere testscores</t>
  </si>
  <si>
    <t>Alternativ til kategorisering af uddannelse: Anvend antal år tilbragt under uddannelse (min. 1; max. 5)</t>
  </si>
  <si>
    <t>&lt;0,1</t>
  </si>
  <si>
    <t>Mean</t>
  </si>
  <si>
    <t>residualfordeling</t>
  </si>
  <si>
    <t>mean</t>
  </si>
  <si>
    <t>normfordeling</t>
  </si>
  <si>
    <t>Log10 af forventet</t>
  </si>
  <si>
    <t>Log10 af observeret</t>
  </si>
  <si>
    <t>difference</t>
  </si>
  <si>
    <t>alder gns</t>
  </si>
  <si>
    <t>est SD residual (log10)</t>
  </si>
  <si>
    <t>limit</t>
  </si>
  <si>
    <t>kat</t>
  </si>
  <si>
    <t>limit_A</t>
  </si>
  <si>
    <t>kat_A</t>
  </si>
  <si>
    <t>Log10 observeret</t>
  </si>
  <si>
    <t>Log10 forventet</t>
  </si>
  <si>
    <t>L10 forvent-obs</t>
  </si>
  <si>
    <t>alder kategori</t>
  </si>
  <si>
    <t>kategori</t>
  </si>
  <si>
    <t>limit_B</t>
  </si>
  <si>
    <t>kat_B</t>
  </si>
  <si>
    <t>est pct</t>
  </si>
  <si>
    <t>est SD</t>
  </si>
  <si>
    <t>log10</t>
  </si>
  <si>
    <t>L10forvent-L10obs</t>
  </si>
  <si>
    <t>limit_listK</t>
  </si>
  <si>
    <t>kat_listK</t>
  </si>
  <si>
    <t>80-83 år</t>
  </si>
  <si>
    <t>limit_listM</t>
  </si>
  <si>
    <t>kat_listM</t>
  </si>
  <si>
    <t>raw</t>
  </si>
  <si>
    <t>Lopslag</t>
  </si>
  <si>
    <t>pct_ans_young</t>
  </si>
  <si>
    <t>pct_ans_old</t>
  </si>
  <si>
    <t>60-85 år</t>
  </si>
  <si>
    <t>aldersbestemt Lopslag</t>
  </si>
  <si>
    <t>4 til 6</t>
  </si>
  <si>
    <t>7 til 10</t>
  </si>
  <si>
    <t>11 til 12</t>
  </si>
  <si>
    <t>13 til 15</t>
  </si>
  <si>
    <t>16 til 21</t>
  </si>
  <si>
    <t>22 til 28</t>
  </si>
  <si>
    <t>29 til 36</t>
  </si>
  <si>
    <t>37 til 46</t>
  </si>
  <si>
    <t>47 til 58</t>
  </si>
  <si>
    <t>59 til 72</t>
  </si>
  <si>
    <t>73 til 85</t>
  </si>
  <si>
    <t>86 til 95</t>
  </si>
  <si>
    <t>pct_interval</t>
  </si>
  <si>
    <t>pct værdi</t>
  </si>
  <si>
    <t>input</t>
  </si>
  <si>
    <t>output</t>
  </si>
  <si>
    <t>(residual)</t>
  </si>
  <si>
    <t>est SD residual (log10) tabelopslag</t>
  </si>
  <si>
    <t>mean (konstant)</t>
  </si>
  <si>
    <t>estimeret percentilværdi</t>
  </si>
  <si>
    <t>fungerer som 'målestok'</t>
  </si>
  <si>
    <t>Forventet score</t>
  </si>
  <si>
    <t>Observeret minus forventet score</t>
  </si>
  <si>
    <t>percentilværdi udtrykt i SD (rapporteres ikke)</t>
  </si>
  <si>
    <t>percentilværdi udtrykt i SD</t>
  </si>
  <si>
    <t>Ca. percentilværdi af observeret score</t>
  </si>
  <si>
    <t>(målestok)</t>
  </si>
  <si>
    <t>log10 obs</t>
  </si>
  <si>
    <t>log10 forvent</t>
  </si>
  <si>
    <t>lg10obs - lg10forvent</t>
  </si>
  <si>
    <t xml:space="preserve">est SD residual (log10) </t>
  </si>
  <si>
    <t>70-74 år</t>
  </si>
  <si>
    <t>rapporteres ikke</t>
  </si>
  <si>
    <t>tabelopslag</t>
  </si>
  <si>
    <t>pct interval</t>
  </si>
  <si>
    <t>4 til 5</t>
  </si>
  <si>
    <t>Indtast score</t>
  </si>
  <si>
    <t>Obs. minus forventet udtrykt i SD</t>
  </si>
  <si>
    <t>bruges ikke</t>
  </si>
  <si>
    <t>pct intv young</t>
  </si>
  <si>
    <t>pct intv old</t>
  </si>
  <si>
    <t>3 til 4</t>
  </si>
  <si>
    <t>6 til 7</t>
  </si>
  <si>
    <t>8 til 9</t>
  </si>
  <si>
    <t>8 til 10</t>
  </si>
  <si>
    <t>10 til 11</t>
  </si>
  <si>
    <t>11 til 15</t>
  </si>
  <si>
    <t>12 til 13</t>
  </si>
  <si>
    <t>14 til 17</t>
  </si>
  <si>
    <t>22 til 29</t>
  </si>
  <si>
    <t>18 til 27</t>
  </si>
  <si>
    <t>30 til 39</t>
  </si>
  <si>
    <t>28 til 36</t>
  </si>
  <si>
    <t>40 til 47</t>
  </si>
  <si>
    <t>37 til 44</t>
  </si>
  <si>
    <t>48 til 55</t>
  </si>
  <si>
    <t>45 til 55</t>
  </si>
  <si>
    <t>56 til 63</t>
  </si>
  <si>
    <t>56 til 66</t>
  </si>
  <si>
    <t>64 til 72</t>
  </si>
  <si>
    <t>67 til 74</t>
  </si>
  <si>
    <t>73 til 82</t>
  </si>
  <si>
    <t>75 til 81</t>
  </si>
  <si>
    <t>83 til 93</t>
  </si>
  <si>
    <t>82 til 92</t>
  </si>
  <si>
    <t>20-49 år</t>
  </si>
  <si>
    <t>50+ år</t>
  </si>
  <si>
    <t>Version 2a; september 2023</t>
  </si>
  <si>
    <t>Skolegang (7-12 år)</t>
  </si>
  <si>
    <t>Sum af skolegang og uddannelse</t>
  </si>
  <si>
    <t>Prøvepersonens alder (mindst 20 år, højst 87 år)</t>
  </si>
  <si>
    <r>
      <t xml:space="preserve">Listeindlæring m. selektiv påmindelse, fejlantal v. indlæring, </t>
    </r>
    <r>
      <rPr>
        <b/>
        <i/>
        <sz val="8"/>
        <rFont val="Arial"/>
        <family val="2"/>
      </rPr>
      <t>KVINDE</t>
    </r>
  </si>
  <si>
    <r>
      <t xml:space="preserve">Listeindlæring m. selektiv påmindelse, fejlantal v. indlæring, </t>
    </r>
    <r>
      <rPr>
        <b/>
        <i/>
        <sz val="8"/>
        <rFont val="Arial"/>
        <family val="2"/>
      </rPr>
      <t>MAND</t>
    </r>
  </si>
  <si>
    <t>&lt;1</t>
  </si>
  <si>
    <t>94 til &gt;99</t>
  </si>
  <si>
    <t>93 til &gt;99</t>
  </si>
  <si>
    <t>96 til &gt;99</t>
  </si>
  <si>
    <t>20-64 år</t>
  </si>
  <si>
    <t>65-87 år</t>
  </si>
  <si>
    <t xml:space="preserve">RCFT kopi </t>
  </si>
  <si>
    <t>percentil ung</t>
  </si>
  <si>
    <t>percentil old</t>
  </si>
  <si>
    <t>2 til 3</t>
  </si>
  <si>
    <t>16 til 22</t>
  </si>
  <si>
    <t>4 til 7</t>
  </si>
  <si>
    <t>23 til 36</t>
  </si>
  <si>
    <t>8 til 17</t>
  </si>
  <si>
    <t>37 til 52</t>
  </si>
  <si>
    <t>18 til 61</t>
  </si>
  <si>
    <t>53 til 78</t>
  </si>
  <si>
    <t>62 til &gt;99</t>
  </si>
  <si>
    <t>79 til &gt;99</t>
  </si>
  <si>
    <t>Kategorisering af uddannelse</t>
  </si>
  <si>
    <t>ikke relevant</t>
  </si>
  <si>
    <t>Observeret minus forventet udtrykt i SD</t>
  </si>
  <si>
    <t>Trail Making A</t>
  </si>
  <si>
    <t>Trail Making B</t>
  </si>
  <si>
    <t>Kategoristyret hukommelsestest, 64 ord, umiddelbar genkaldelse</t>
  </si>
  <si>
    <t>Kategoristyret genkaldelse, 64 ord, forsinket genkaldelse</t>
  </si>
  <si>
    <t>Fem-punkts test / Design fluency</t>
  </si>
  <si>
    <t>Street Completion Test</t>
  </si>
  <si>
    <t>Uddannelse (kategoriseret værdi 1-5; se skema til højre)</t>
  </si>
  <si>
    <t>Kolonne1</t>
  </si>
  <si>
    <t>Datagrundlag</t>
  </si>
  <si>
    <t>4 poolede datasæt, N = 401</t>
  </si>
  <si>
    <t>4 poolede datasæt, N = 348</t>
  </si>
  <si>
    <t>4 poolede datasæt, N = 317</t>
  </si>
  <si>
    <t>3 poolede datasæt, N = 259</t>
  </si>
  <si>
    <t>3 poolede datasæt, N = 260</t>
  </si>
  <si>
    <t>3 poolede datasæt, N = 170</t>
  </si>
  <si>
    <t>3 poolede datasæt, N = 120</t>
  </si>
  <si>
    <t>3 poolede datasæt, N = 123</t>
  </si>
  <si>
    <t>2 poolede datasæt, N = 192</t>
  </si>
  <si>
    <t>6 poolede datasæt, N = 414</t>
  </si>
  <si>
    <t>6 poolede datasæt, N = 413</t>
  </si>
  <si>
    <t>3 poolede datasæt, N = 212</t>
  </si>
  <si>
    <t>5 poolede datasæt, N = 349</t>
  </si>
  <si>
    <t>x</t>
  </si>
  <si>
    <t>middelværdi</t>
  </si>
  <si>
    <t>Forventet score fra regressionsmodel. Svarer til 'Forventet gennemsnit' i de poolede danske normtabeller (1)</t>
  </si>
  <si>
    <t>SD fra normsample (kan variere afhængigt af aldersgruppe) - jf. normtabellerne</t>
  </si>
  <si>
    <t>kumulativ</t>
  </si>
  <si>
    <t>En logisk værdi, som bestemmer funktionens form. Hvis kumulativ sættes til SAND, returneres den kumulative fordelingsfunktion. Det svarer i denne kontekst til percentilværdien af den observerede score</t>
  </si>
  <si>
    <t>Tabel 1</t>
  </si>
  <si>
    <t>Residualværdi (observeret – forventet score)</t>
  </si>
  <si>
    <t>Residualværdi 0 (observeret = forventet score)</t>
  </si>
  <si>
    <t>SD fra normsample</t>
  </si>
  <si>
    <t>Tabel 2</t>
  </si>
  <si>
    <t>Residualværdi (log10 observeret – log10 forventet score)</t>
  </si>
  <si>
    <t>Residualværdi 0 (log10 observeret = log10 forventet score)</t>
  </si>
  <si>
    <t>SD for residualværdier for log10-transformerede råscores</t>
  </si>
  <si>
    <t>Tabel 3</t>
  </si>
  <si>
    <t>Argumenter til NORMAL.FORDELING</t>
  </si>
  <si>
    <t>Alternative argumenter til NORMAL.FORDELING</t>
  </si>
  <si>
    <t>Argumenter til NORMAL.FORDELING ved brug af log-10 transformerede scores</t>
  </si>
  <si>
    <t>Fordeling af råscores for Trail Making A</t>
  </si>
  <si>
    <t>Fordeling af log-10 transformerede råscores for Trail Making A</t>
  </si>
  <si>
    <t>Est. SD residualer (log10)</t>
  </si>
  <si>
    <t>Tabel 4</t>
  </si>
  <si>
    <t>Eksempel på SD’er for residualværdier for log10-transformerede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</si>
</sst>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000"/>
    <numFmt numFmtId="167" formatCode="####.00"/>
    <numFmt numFmtId="168" formatCode="####.000"/>
    <numFmt numFmtId="169" formatCode="0.00000"/>
    <numFmt numFmtId="170" formatCode="####.0000"/>
  </numFmts>
  <fonts count="45" x14ac:knownFonts="1">
    <font>
      <sz val="10"/>
      <color theme="1"/>
      <name val="Arial"/>
      <family val="2"/>
    </font>
    <font>
      <i/>
      <sz val="10"/>
      <color theme="1"/>
      <name val="Arial"/>
      <family val="2"/>
    </font>
    <font>
      <sz val="8"/>
      <color theme="1"/>
      <name val="Arial"/>
      <family val="2"/>
    </font>
    <font>
      <sz val="10"/>
      <color rgb="FFFF0000"/>
      <name val="Arial"/>
      <family val="2"/>
    </font>
    <font>
      <b/>
      <sz val="10"/>
      <color theme="1"/>
      <name val="Arial"/>
      <family val="2"/>
    </font>
    <font>
      <sz val="10"/>
      <name val="Arial"/>
      <family val="2"/>
    </font>
    <font>
      <sz val="9"/>
      <color rgb="FFFF0000"/>
      <name val="Arial"/>
      <family val="2"/>
    </font>
    <font>
      <b/>
      <sz val="9"/>
      <color rgb="FFFF0000"/>
      <name val="Arial"/>
      <family val="2"/>
    </font>
    <font>
      <i/>
      <sz val="8"/>
      <color theme="1"/>
      <name val="Arial"/>
      <family val="2"/>
    </font>
    <font>
      <b/>
      <i/>
      <sz val="8"/>
      <color theme="1"/>
      <name val="Arial"/>
      <family val="2"/>
    </font>
    <font>
      <i/>
      <sz val="8"/>
      <name val="Arial"/>
      <family val="2"/>
    </font>
    <font>
      <sz val="8"/>
      <name val="Arial"/>
      <family val="2"/>
    </font>
    <font>
      <b/>
      <i/>
      <sz val="8"/>
      <name val="Arial"/>
      <family val="2"/>
    </font>
    <font>
      <sz val="8"/>
      <color theme="1"/>
      <name val="Arial"/>
      <family val="2"/>
    </font>
    <font>
      <b/>
      <sz val="9"/>
      <color indexed="8"/>
      <name val="Arial"/>
      <family val="2"/>
    </font>
    <font>
      <sz val="8"/>
      <color indexed="8"/>
      <name val="Calibri"/>
      <family val="2"/>
    </font>
    <font>
      <sz val="8"/>
      <color theme="1"/>
      <name val="Calibri"/>
      <family val="2"/>
      <scheme val="minor"/>
    </font>
    <font>
      <sz val="14"/>
      <color theme="1"/>
      <name val="Arial"/>
      <family val="2"/>
    </font>
    <font>
      <sz val="8"/>
      <color indexed="8"/>
      <name val="Arial"/>
      <family val="2"/>
    </font>
    <font>
      <sz val="10"/>
      <color rgb="FFC00000"/>
      <name val="Arial"/>
      <family val="2"/>
    </font>
    <font>
      <sz val="9"/>
      <color indexed="8"/>
      <name val="Arial"/>
      <family val="2"/>
    </font>
    <font>
      <b/>
      <i/>
      <sz val="8"/>
      <color rgb="FF000000"/>
      <name val="Arial"/>
      <family val="2"/>
    </font>
    <font>
      <sz val="8"/>
      <color rgb="FF000000"/>
      <name val="Arial"/>
      <family val="2"/>
    </font>
    <font>
      <sz val="7"/>
      <color rgb="FF000000"/>
      <name val="Arial"/>
      <family val="2"/>
    </font>
    <font>
      <sz val="9"/>
      <color theme="1"/>
      <name val="Arial"/>
      <family val="2"/>
    </font>
    <font>
      <b/>
      <sz val="9"/>
      <color theme="1"/>
      <name val="Arial"/>
      <family val="2"/>
    </font>
    <font>
      <i/>
      <sz val="9"/>
      <color theme="1"/>
      <name val="Arial"/>
      <family val="2"/>
    </font>
    <font>
      <b/>
      <sz val="9"/>
      <color theme="1"/>
      <name val="Calibri"/>
      <family val="2"/>
      <scheme val="minor"/>
    </font>
    <font>
      <sz val="9"/>
      <color theme="1"/>
      <name val="Calibri"/>
      <family val="2"/>
      <scheme val="minor"/>
    </font>
    <font>
      <sz val="9"/>
      <color theme="1"/>
      <name val="Calibri"/>
      <family val="2"/>
    </font>
    <font>
      <b/>
      <sz val="9"/>
      <color theme="1"/>
      <name val="Calibri"/>
      <family val="2"/>
    </font>
    <font>
      <b/>
      <i/>
      <sz val="9"/>
      <color theme="1"/>
      <name val="Arial"/>
      <family val="2"/>
    </font>
    <font>
      <sz val="9"/>
      <color indexed="8"/>
      <name val="Calibri"/>
      <family val="2"/>
    </font>
    <font>
      <b/>
      <sz val="10"/>
      <color theme="1"/>
      <name val="Calibri"/>
      <family val="2"/>
      <scheme val="minor"/>
    </font>
    <font>
      <sz val="10"/>
      <color theme="1"/>
      <name val="Calibri"/>
      <family val="2"/>
      <scheme val="minor"/>
    </font>
    <font>
      <b/>
      <sz val="10"/>
      <color theme="1"/>
      <name val="Calibri"/>
      <family val="2"/>
    </font>
    <font>
      <sz val="10"/>
      <color theme="1"/>
      <name val="Calibri"/>
      <family val="2"/>
    </font>
    <font>
      <b/>
      <sz val="10"/>
      <color indexed="8"/>
      <name val="Arial"/>
      <family val="2"/>
    </font>
    <font>
      <b/>
      <i/>
      <sz val="10"/>
      <color theme="1"/>
      <name val="Arial"/>
      <family val="2"/>
    </font>
    <font>
      <sz val="10"/>
      <color indexed="8"/>
      <name val="Calibri"/>
      <family val="2"/>
    </font>
    <font>
      <sz val="10"/>
      <color indexed="8"/>
      <name val="Arial"/>
      <family val="2"/>
    </font>
    <font>
      <sz val="9"/>
      <color rgb="FFC00000"/>
      <name val="Arial"/>
      <family val="2"/>
    </font>
    <font>
      <sz val="8"/>
      <color theme="1"/>
      <name val="Arial"/>
      <family val="2"/>
    </font>
    <font>
      <b/>
      <sz val="14"/>
      <color theme="1"/>
      <name val="Arial"/>
      <family val="2"/>
    </font>
    <font>
      <b/>
      <sz val="8"/>
      <color theme="1"/>
      <name val="Arial"/>
      <family val="2"/>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66FFCC"/>
        <bgColor indexed="64"/>
      </patternFill>
    </fill>
  </fills>
  <borders count="20">
    <border>
      <left/>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theme="8"/>
      </bottom>
      <diagonal/>
    </border>
    <border>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67">
    <xf numFmtId="0" fontId="0" fillId="0" borderId="0" xfId="0"/>
    <xf numFmtId="0" fontId="1" fillId="0" borderId="0" xfId="0" applyFont="1"/>
    <xf numFmtId="165" fontId="0" fillId="0" borderId="0" xfId="0" applyNumberFormat="1"/>
    <xf numFmtId="2" fontId="0" fillId="0" borderId="0" xfId="0" applyNumberFormat="1"/>
    <xf numFmtId="166" fontId="0" fillId="0" borderId="0" xfId="0" applyNumberFormat="1"/>
    <xf numFmtId="0" fontId="0" fillId="0" borderId="0" xfId="0" applyFont="1"/>
    <xf numFmtId="167" fontId="6" fillId="0" borderId="1" xfId="1" applyNumberFormat="1" applyFont="1" applyBorder="1" applyAlignment="1">
      <alignment horizontal="right" vertical="top"/>
    </xf>
    <xf numFmtId="164" fontId="3" fillId="0" borderId="0" xfId="0" applyNumberFormat="1" applyFont="1"/>
    <xf numFmtId="167" fontId="7" fillId="0" borderId="1" xfId="2" applyNumberFormat="1" applyFont="1" applyBorder="1" applyAlignment="1">
      <alignment horizontal="right" vertical="top"/>
    </xf>
    <xf numFmtId="165" fontId="4" fillId="0" borderId="0" xfId="0" applyNumberFormat="1" applyFont="1"/>
    <xf numFmtId="0" fontId="4" fillId="0" borderId="0" xfId="0" applyFont="1"/>
    <xf numFmtId="167" fontId="7" fillId="0" borderId="1" xfId="3" applyNumberFormat="1" applyFont="1" applyBorder="1" applyAlignment="1">
      <alignment horizontal="right" vertical="top"/>
    </xf>
    <xf numFmtId="168" fontId="7" fillId="0" borderId="2" xfId="2" applyNumberFormat="1" applyFont="1" applyBorder="1" applyAlignment="1">
      <alignment horizontal="right" vertical="top"/>
    </xf>
    <xf numFmtId="167" fontId="7" fillId="0" borderId="1" xfId="1" applyNumberFormat="1" applyFont="1" applyBorder="1" applyAlignment="1">
      <alignment horizontal="right" vertical="top"/>
    </xf>
    <xf numFmtId="0" fontId="3" fillId="0" borderId="0" xfId="0" applyFont="1"/>
    <xf numFmtId="166" fontId="3" fillId="0" borderId="0" xfId="0" applyNumberFormat="1" applyFont="1"/>
    <xf numFmtId="2" fontId="3" fillId="0" borderId="0" xfId="0" applyNumberFormat="1" applyFont="1"/>
    <xf numFmtId="168" fontId="6" fillId="0" borderId="2" xfId="3" applyNumberFormat="1" applyFont="1" applyBorder="1" applyAlignment="1">
      <alignment horizontal="right" vertical="top"/>
    </xf>
    <xf numFmtId="165" fontId="2" fillId="0" borderId="0" xfId="0" applyNumberFormat="1" applyFont="1" applyBorder="1" applyAlignment="1">
      <alignment horizontal="center" vertical="center"/>
    </xf>
    <xf numFmtId="1" fontId="2" fillId="0" borderId="0" xfId="0" applyNumberFormat="1" applyFont="1" applyBorder="1" applyAlignment="1">
      <alignment horizontal="center"/>
    </xf>
    <xf numFmtId="1" fontId="13" fillId="0"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xf>
    <xf numFmtId="164" fontId="0" fillId="0" borderId="0" xfId="0" applyNumberFormat="1"/>
    <xf numFmtId="167" fontId="14" fillId="0" borderId="1" xfId="2" applyNumberFormat="1" applyFont="1" applyBorder="1" applyAlignment="1">
      <alignment horizontal="right" vertical="top"/>
    </xf>
    <xf numFmtId="0" fontId="2" fillId="0" borderId="0" xfId="0" applyFont="1" applyBorder="1" applyAlignment="1">
      <alignment horizontal="center"/>
    </xf>
    <xf numFmtId="0" fontId="17" fillId="0" borderId="0" xfId="0" applyFont="1"/>
    <xf numFmtId="0" fontId="0" fillId="0" borderId="0" xfId="0" applyBorder="1"/>
    <xf numFmtId="0" fontId="2" fillId="0" borderId="0" xfId="0" applyFont="1" applyFill="1" applyBorder="1" applyAlignment="1">
      <alignment horizont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165" fontId="18" fillId="0" borderId="0" xfId="5" applyNumberFormat="1" applyFont="1" applyBorder="1" applyAlignment="1">
      <alignment horizontal="center" vertical="center"/>
    </xf>
    <xf numFmtId="1"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65" fontId="2" fillId="0" borderId="0" xfId="0" applyNumberFormat="1" applyFont="1" applyBorder="1" applyAlignment="1">
      <alignment horizontal="center"/>
    </xf>
    <xf numFmtId="165" fontId="2" fillId="0" borderId="0" xfId="0" applyNumberFormat="1" applyFont="1" applyFill="1" applyBorder="1" applyAlignment="1">
      <alignment horizontal="center"/>
    </xf>
    <xf numFmtId="164" fontId="19" fillId="0" borderId="0" xfId="0" applyNumberFormat="1" applyFont="1"/>
    <xf numFmtId="167" fontId="20" fillId="0" borderId="1" xfId="6" applyNumberFormat="1" applyFont="1" applyBorder="1" applyAlignment="1">
      <alignment horizontal="right" vertical="top"/>
    </xf>
    <xf numFmtId="1" fontId="8" fillId="0" borderId="0" xfId="0" applyNumberFormat="1" applyFont="1" applyBorder="1" applyAlignment="1">
      <alignment horizontal="center" vertical="center"/>
    </xf>
    <xf numFmtId="2" fontId="8" fillId="0" borderId="0" xfId="0" applyNumberFormat="1" applyFont="1" applyBorder="1" applyAlignment="1">
      <alignment horizontal="center" vertical="center" wrapText="1"/>
    </xf>
    <xf numFmtId="1" fontId="13" fillId="0" borderId="7"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1" fontId="2" fillId="0" borderId="10"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165" fontId="2" fillId="0" borderId="14"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28" fillId="0" borderId="17" xfId="0" applyFont="1" applyBorder="1" applyAlignment="1">
      <alignment horizontal="center" vertical="center"/>
    </xf>
    <xf numFmtId="0" fontId="28"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vertical="center"/>
    </xf>
    <xf numFmtId="0" fontId="27" fillId="0" borderId="3" xfId="0" applyFont="1" applyBorder="1" applyAlignment="1">
      <alignment vertical="center"/>
    </xf>
    <xf numFmtId="166" fontId="28" fillId="0" borderId="0" xfId="0" applyNumberFormat="1" applyFont="1" applyAlignment="1">
      <alignment vertical="center"/>
    </xf>
    <xf numFmtId="0" fontId="28" fillId="0" borderId="0" xfId="0" applyFont="1" applyBorder="1" applyAlignment="1">
      <alignment vertical="center"/>
    </xf>
    <xf numFmtId="169" fontId="28" fillId="0" borderId="0" xfId="0" applyNumberFormat="1" applyFont="1" applyBorder="1" applyAlignment="1">
      <alignment horizontal="center" vertical="center"/>
    </xf>
    <xf numFmtId="0" fontId="17" fillId="0" borderId="0" xfId="0" applyFont="1" applyAlignment="1">
      <alignment vertical="center"/>
    </xf>
    <xf numFmtId="167" fontId="14" fillId="0" borderId="1" xfId="2" applyNumberFormat="1" applyFont="1" applyBorder="1" applyAlignment="1">
      <alignment horizontal="right" vertical="center"/>
    </xf>
    <xf numFmtId="0" fontId="27" fillId="0" borderId="6" xfId="0" applyFont="1" applyBorder="1" applyAlignment="1">
      <alignment horizontal="center" vertical="center"/>
    </xf>
    <xf numFmtId="169" fontId="29" fillId="0" borderId="6" xfId="0" applyNumberFormat="1" applyFont="1" applyFill="1" applyBorder="1" applyAlignment="1">
      <alignment horizontal="center" vertical="center"/>
    </xf>
    <xf numFmtId="0" fontId="30" fillId="0" borderId="6" xfId="0" applyFont="1" applyFill="1" applyBorder="1" applyAlignment="1">
      <alignment horizontal="left" vertical="center"/>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Alignment="1">
      <alignment horizontal="center" vertical="center"/>
    </xf>
    <xf numFmtId="2" fontId="24" fillId="0" borderId="0" xfId="0" applyNumberFormat="1" applyFont="1" applyAlignment="1">
      <alignment vertical="center"/>
    </xf>
    <xf numFmtId="165" fontId="24" fillId="0" borderId="0" xfId="0" applyNumberFormat="1" applyFont="1" applyAlignment="1">
      <alignment vertical="center"/>
    </xf>
    <xf numFmtId="0" fontId="26" fillId="0" borderId="0" xfId="0" applyFont="1" applyAlignment="1">
      <alignment vertical="center"/>
    </xf>
    <xf numFmtId="0" fontId="26" fillId="0" borderId="0" xfId="0" applyFont="1" applyFill="1" applyAlignment="1">
      <alignment vertical="center"/>
    </xf>
    <xf numFmtId="0" fontId="24" fillId="0" borderId="0" xfId="0" applyFont="1" applyFill="1" applyAlignment="1">
      <alignment vertical="center"/>
    </xf>
    <xf numFmtId="0" fontId="25" fillId="0" borderId="0" xfId="0" applyFont="1" applyAlignment="1">
      <alignment vertical="center"/>
    </xf>
    <xf numFmtId="164" fontId="6" fillId="0" borderId="0" xfId="0" applyNumberFormat="1" applyFont="1" applyAlignment="1">
      <alignment vertical="center"/>
    </xf>
    <xf numFmtId="165" fontId="25" fillId="0" borderId="0" xfId="0" applyNumberFormat="1" applyFont="1" applyAlignment="1">
      <alignment vertical="center"/>
    </xf>
    <xf numFmtId="164" fontId="24" fillId="0" borderId="0" xfId="0" applyNumberFormat="1" applyFont="1" applyAlignment="1">
      <alignment vertical="center"/>
    </xf>
    <xf numFmtId="1" fontId="24" fillId="0" borderId="0" xfId="0" applyNumberFormat="1" applyFont="1" applyAlignment="1">
      <alignment vertical="center"/>
    </xf>
    <xf numFmtId="0" fontId="25" fillId="0" borderId="0" xfId="0" applyFont="1" applyFill="1" applyAlignment="1">
      <alignment vertical="center"/>
    </xf>
    <xf numFmtId="0" fontId="24" fillId="3" borderId="0" xfId="0" applyFont="1" applyFill="1" applyAlignment="1">
      <alignment vertical="center"/>
    </xf>
    <xf numFmtId="169" fontId="24" fillId="0" borderId="0" xfId="0" applyNumberFormat="1" applyFont="1" applyAlignment="1">
      <alignment vertical="center"/>
    </xf>
    <xf numFmtId="0" fontId="30" fillId="0" borderId="6" xfId="0" applyFont="1" applyBorder="1" applyAlignment="1">
      <alignment horizontal="center" vertical="center"/>
    </xf>
    <xf numFmtId="0" fontId="29" fillId="0" borderId="6"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169" fontId="29" fillId="0" borderId="0" xfId="0" applyNumberFormat="1" applyFont="1" applyFill="1" applyBorder="1" applyAlignment="1">
      <alignment horizontal="center" vertical="center"/>
    </xf>
    <xf numFmtId="0" fontId="28" fillId="0" borderId="17" xfId="0" applyFont="1" applyBorder="1" applyAlignment="1">
      <alignment vertical="center"/>
    </xf>
    <xf numFmtId="0" fontId="28" fillId="0" borderId="4" xfId="0" applyFont="1" applyBorder="1" applyAlignment="1">
      <alignment vertical="center"/>
    </xf>
    <xf numFmtId="0" fontId="28" fillId="0" borderId="7" xfId="0" applyFont="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alignment horizontal="center" vertical="center"/>
    </xf>
    <xf numFmtId="1" fontId="2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1" fontId="24" fillId="0" borderId="0" xfId="0" applyNumberFormat="1" applyFont="1" applyFill="1" applyBorder="1" applyAlignment="1">
      <alignment horizontal="center" vertical="center"/>
    </xf>
    <xf numFmtId="0" fontId="25" fillId="0" borderId="0"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165" fontId="24" fillId="0" borderId="0" xfId="0" applyNumberFormat="1" applyFont="1" applyFill="1" applyBorder="1" applyAlignment="1">
      <alignment horizontal="center" vertical="center"/>
    </xf>
    <xf numFmtId="0" fontId="25" fillId="0" borderId="0" xfId="0" applyFont="1" applyFill="1" applyBorder="1" applyAlignment="1">
      <alignment horizontal="left" vertical="center"/>
    </xf>
    <xf numFmtId="165" fontId="25" fillId="0" borderId="0"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0" borderId="0" xfId="0" applyFont="1" applyFill="1" applyBorder="1" applyAlignment="1">
      <alignment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1" fontId="26" fillId="0" borderId="0" xfId="0" applyNumberFormat="1" applyFont="1" applyAlignment="1">
      <alignment vertical="center"/>
    </xf>
    <xf numFmtId="1" fontId="24" fillId="0" borderId="0" xfId="0" applyNumberFormat="1" applyFont="1" applyAlignment="1">
      <alignment horizontal="right" vertical="center"/>
    </xf>
    <xf numFmtId="0" fontId="4" fillId="0" borderId="0" xfId="0" applyFont="1" applyFill="1" applyBorder="1"/>
    <xf numFmtId="0" fontId="4" fillId="0" borderId="0" xfId="0" applyFont="1" applyFill="1" applyBorder="1" applyAlignment="1">
      <alignment horizontal="left"/>
    </xf>
    <xf numFmtId="165" fontId="4" fillId="0" borderId="0" xfId="0" applyNumberFormat="1" applyFont="1" applyFill="1" applyBorder="1" applyAlignment="1">
      <alignment horizontal="center"/>
    </xf>
    <xf numFmtId="0" fontId="1" fillId="0" borderId="0" xfId="0" applyFont="1" applyFill="1"/>
    <xf numFmtId="164" fontId="1" fillId="0" borderId="0" xfId="0" applyNumberFormat="1" applyFont="1" applyFill="1"/>
    <xf numFmtId="166" fontId="4" fillId="0" borderId="0" xfId="0" applyNumberFormat="1" applyFont="1"/>
    <xf numFmtId="0" fontId="0" fillId="0" borderId="0" xfId="0" applyFont="1" applyFill="1"/>
    <xf numFmtId="0" fontId="0" fillId="0" borderId="0" xfId="0" applyFont="1" applyBorder="1"/>
    <xf numFmtId="0" fontId="33" fillId="0" borderId="0" xfId="0" applyFont="1" applyBorder="1" applyAlignment="1">
      <alignment vertical="center"/>
    </xf>
    <xf numFmtId="0" fontId="33" fillId="0" borderId="0" xfId="0" applyFont="1" applyBorder="1" applyAlignment="1">
      <alignment horizontal="center" vertical="center"/>
    </xf>
    <xf numFmtId="164" fontId="33" fillId="0" borderId="0" xfId="0" applyNumberFormat="1" applyFont="1" applyBorder="1" applyAlignment="1">
      <alignment horizontal="center" vertical="center"/>
    </xf>
    <xf numFmtId="0" fontId="0" fillId="0" borderId="0" xfId="0" applyFont="1" applyAlignment="1">
      <alignment horizontal="center"/>
    </xf>
    <xf numFmtId="0" fontId="34" fillId="0" borderId="0" xfId="0" applyFont="1" applyBorder="1" applyAlignment="1">
      <alignment horizontal="center" vertical="center"/>
    </xf>
    <xf numFmtId="0" fontId="34" fillId="0" borderId="0" xfId="0" applyFont="1" applyBorder="1" applyAlignment="1">
      <alignment horizontal="center"/>
    </xf>
    <xf numFmtId="164" fontId="34" fillId="0" borderId="0" xfId="0" applyNumberFormat="1" applyFont="1" applyBorder="1" applyAlignment="1">
      <alignment horizontal="center"/>
    </xf>
    <xf numFmtId="2" fontId="0" fillId="0" borderId="0" xfId="0" applyNumberFormat="1" applyFont="1" applyFill="1"/>
    <xf numFmtId="164" fontId="34" fillId="0" borderId="0" xfId="0" applyNumberFormat="1" applyFont="1" applyBorder="1" applyAlignment="1">
      <alignment horizontal="center" vertical="center"/>
    </xf>
    <xf numFmtId="165" fontId="0" fillId="0" borderId="0" xfId="0" applyNumberFormat="1" applyFont="1" applyFill="1"/>
    <xf numFmtId="164" fontId="0" fillId="0" borderId="0" xfId="0" applyNumberFormat="1" applyFont="1" applyFill="1"/>
    <xf numFmtId="0" fontId="33" fillId="0" borderId="6" xfId="0" applyFont="1" applyBorder="1" applyAlignment="1">
      <alignment horizontal="center" vertical="center"/>
    </xf>
    <xf numFmtId="0" fontId="35" fillId="0" borderId="6" xfId="0" applyFont="1" applyBorder="1" applyAlignment="1">
      <alignment horizontal="center" vertical="center"/>
    </xf>
    <xf numFmtId="0" fontId="35" fillId="0" borderId="6" xfId="0" applyFont="1" applyFill="1" applyBorder="1" applyAlignment="1">
      <alignment horizontal="left" vertical="center"/>
    </xf>
    <xf numFmtId="0" fontId="34" fillId="0" borderId="6" xfId="0" applyFont="1" applyBorder="1" applyAlignment="1">
      <alignment vertical="center"/>
    </xf>
    <xf numFmtId="0" fontId="36" fillId="0" borderId="6" xfId="0" applyFont="1" applyBorder="1" applyAlignment="1">
      <alignment horizontal="center" vertical="center"/>
    </xf>
    <xf numFmtId="169" fontId="0" fillId="0" borderId="0" xfId="0" applyNumberFormat="1" applyFont="1" applyFill="1" applyAlignment="1">
      <alignment vertical="center"/>
    </xf>
    <xf numFmtId="1" fontId="34" fillId="0" borderId="0" xfId="0" applyNumberFormat="1" applyFont="1" applyBorder="1" applyAlignment="1">
      <alignment horizontal="center" vertical="center"/>
    </xf>
    <xf numFmtId="164" fontId="0" fillId="0" borderId="0" xfId="0" applyNumberFormat="1" applyFont="1"/>
    <xf numFmtId="166" fontId="0" fillId="0" borderId="0" xfId="0" applyNumberFormat="1" applyFont="1"/>
    <xf numFmtId="165" fontId="0" fillId="0" borderId="0" xfId="0" applyNumberFormat="1" applyFont="1"/>
    <xf numFmtId="2" fontId="0" fillId="0" borderId="0" xfId="0" applyNumberFormat="1" applyFont="1"/>
    <xf numFmtId="167" fontId="37" fillId="0" borderId="1" xfId="4" applyNumberFormat="1" applyFont="1" applyBorder="1" applyAlignment="1">
      <alignment horizontal="right" vertical="top"/>
    </xf>
    <xf numFmtId="0" fontId="38" fillId="0" borderId="0" xfId="0" applyFont="1" applyFill="1" applyBorder="1" applyAlignment="1">
      <alignment horizontal="center" vertical="center"/>
    </xf>
    <xf numFmtId="0" fontId="0" fillId="0" borderId="0" xfId="0" applyFont="1" applyFill="1" applyBorder="1" applyAlignment="1">
      <alignment horizontal="center"/>
    </xf>
    <xf numFmtId="1" fontId="0" fillId="0" borderId="0" xfId="0" applyNumberFormat="1" applyFont="1" applyFill="1" applyBorder="1" applyAlignment="1">
      <alignment horizontal="center"/>
    </xf>
    <xf numFmtId="0" fontId="0" fillId="0" borderId="0" xfId="0" applyFont="1" applyFill="1" applyBorder="1"/>
    <xf numFmtId="0" fontId="34" fillId="0" borderId="0" xfId="0" applyFont="1" applyFill="1" applyBorder="1" applyAlignment="1">
      <alignment horizontal="center" vertical="center"/>
    </xf>
    <xf numFmtId="1" fontId="34" fillId="0" borderId="0" xfId="0"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165" fontId="0" fillId="0" borderId="0" xfId="0" applyNumberFormat="1" applyFont="1" applyFill="1" applyBorder="1" applyAlignment="1">
      <alignment horizontal="center"/>
    </xf>
    <xf numFmtId="165" fontId="0" fillId="0" borderId="0" xfId="0" applyNumberFormat="1"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39" fillId="0" borderId="0" xfId="0" applyFont="1" applyFill="1" applyBorder="1" applyAlignment="1">
      <alignment horizontal="center" wrapText="1"/>
    </xf>
    <xf numFmtId="0" fontId="34" fillId="0" borderId="0" xfId="0" applyFont="1" applyFill="1" applyBorder="1" applyAlignment="1">
      <alignment horizontal="center" wrapText="1"/>
    </xf>
    <xf numFmtId="0" fontId="34" fillId="0" borderId="0" xfId="0" applyFont="1" applyFill="1" applyBorder="1" applyAlignment="1">
      <alignment vertical="center"/>
    </xf>
    <xf numFmtId="164" fontId="0" fillId="0" borderId="0" xfId="0" applyNumberFormat="1" applyFont="1" applyFill="1" applyBorder="1"/>
    <xf numFmtId="164" fontId="34" fillId="0" borderId="0" xfId="0" applyNumberFormat="1" applyFont="1" applyFill="1" applyBorder="1" applyAlignment="1">
      <alignment vertical="center"/>
    </xf>
    <xf numFmtId="164" fontId="0" fillId="0" borderId="0" xfId="0" applyNumberFormat="1" applyFont="1" applyBorder="1"/>
    <xf numFmtId="165" fontId="0" fillId="0" borderId="0" xfId="0" applyNumberFormat="1" applyFont="1" applyFill="1" applyBorder="1" applyAlignment="1">
      <alignment horizontal="left"/>
    </xf>
    <xf numFmtId="165" fontId="2" fillId="0" borderId="7"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Fill="1" applyBorder="1" applyAlignment="1">
      <alignment horizontal="left" vertical="center"/>
    </xf>
    <xf numFmtId="0" fontId="0" fillId="0" borderId="6" xfId="0" applyFont="1" applyBorder="1" applyAlignment="1">
      <alignment vertical="center"/>
    </xf>
    <xf numFmtId="0" fontId="0" fillId="0" borderId="6" xfId="0" applyFont="1" applyBorder="1" applyAlignment="1">
      <alignment horizontal="center" vertical="center"/>
    </xf>
    <xf numFmtId="0" fontId="0" fillId="0" borderId="0" xfId="0" applyFill="1" applyBorder="1"/>
    <xf numFmtId="0" fontId="16" fillId="0" borderId="0" xfId="0" applyFont="1" applyFill="1" applyBorder="1" applyAlignment="1">
      <alignment horizontal="center" wrapText="1"/>
    </xf>
    <xf numFmtId="0" fontId="8" fillId="0" borderId="0" xfId="0"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0" fillId="0" borderId="0" xfId="0" applyFill="1" applyBorder="1" applyAlignment="1">
      <alignment horizontal="left"/>
    </xf>
    <xf numFmtId="0" fontId="2" fillId="0" borderId="0" xfId="0" applyFont="1" applyFill="1" applyBorder="1" applyAlignment="1">
      <alignment horizontal="center" wrapText="1"/>
    </xf>
    <xf numFmtId="0" fontId="15" fillId="0" borderId="0" xfId="0" applyFont="1" applyFill="1" applyBorder="1" applyAlignment="1">
      <alignment horizontal="center" wrapText="1"/>
    </xf>
    <xf numFmtId="0" fontId="0" fillId="0" borderId="0" xfId="0" applyFont="1" applyBorder="1" applyAlignment="1">
      <alignment horizontal="center" vertical="center"/>
    </xf>
    <xf numFmtId="0" fontId="27" fillId="0" borderId="10" xfId="0" applyFont="1" applyBorder="1" applyAlignment="1">
      <alignment vertical="center"/>
    </xf>
    <xf numFmtId="0" fontId="27" fillId="0" borderId="11" xfId="0" applyFont="1" applyBorder="1" applyAlignment="1">
      <alignment vertical="center"/>
    </xf>
    <xf numFmtId="0" fontId="28" fillId="0" borderId="7" xfId="0" applyFont="1" applyBorder="1" applyAlignment="1">
      <alignment horizontal="center" vertical="center"/>
    </xf>
    <xf numFmtId="0" fontId="24" fillId="0" borderId="17" xfId="0" applyFont="1" applyBorder="1" applyAlignment="1">
      <alignment vertical="center"/>
    </xf>
    <xf numFmtId="165" fontId="24" fillId="0" borderId="15" xfId="0" applyNumberFormat="1" applyFont="1" applyBorder="1" applyAlignment="1">
      <alignment horizontal="center" vertical="center"/>
    </xf>
    <xf numFmtId="0" fontId="24" fillId="0" borderId="4" xfId="0" applyFont="1" applyBorder="1" applyAlignment="1">
      <alignment vertical="center"/>
    </xf>
    <xf numFmtId="165" fontId="24" fillId="0" borderId="12" xfId="0" applyNumberFormat="1" applyFont="1" applyBorder="1" applyAlignment="1">
      <alignment horizontal="center"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0" fillId="0" borderId="3" xfId="0" applyBorder="1"/>
    <xf numFmtId="0" fontId="0" fillId="0" borderId="11" xfId="0" applyBorder="1" applyAlignment="1">
      <alignment horizontal="center"/>
    </xf>
    <xf numFmtId="0" fontId="0" fillId="0" borderId="17" xfId="0" applyBorder="1"/>
    <xf numFmtId="0" fontId="0" fillId="0" borderId="15" xfId="0" applyBorder="1" applyAlignment="1">
      <alignment horizontal="center"/>
    </xf>
    <xf numFmtId="0" fontId="0" fillId="0" borderId="4" xfId="0" applyBorder="1"/>
    <xf numFmtId="0" fontId="4" fillId="0" borderId="3" xfId="0" applyFont="1" applyFill="1" applyBorder="1" applyAlignment="1">
      <alignment horizontal="left" vertical="center"/>
    </xf>
    <xf numFmtId="0" fontId="1" fillId="0" borderId="11" xfId="0" applyFont="1" applyFill="1" applyBorder="1" applyAlignment="1">
      <alignment horizontal="center" vertical="center"/>
    </xf>
    <xf numFmtId="165" fontId="0" fillId="0" borderId="12" xfId="0" applyNumberFormat="1" applyFont="1" applyFill="1" applyBorder="1" applyAlignment="1">
      <alignment horizontal="center"/>
    </xf>
    <xf numFmtId="0" fontId="0" fillId="0" borderId="0" xfId="0" applyFont="1" applyAlignment="1">
      <alignment wrapText="1"/>
    </xf>
    <xf numFmtId="0" fontId="0" fillId="0" borderId="0" xfId="0" applyFill="1"/>
    <xf numFmtId="0" fontId="0" fillId="0" borderId="0" xfId="0" applyFill="1" applyBorder="1" applyAlignment="1">
      <alignment horizontal="center"/>
    </xf>
    <xf numFmtId="165" fontId="0" fillId="0" borderId="0" xfId="0" applyNumberFormat="1" applyFill="1" applyBorder="1"/>
    <xf numFmtId="167" fontId="40" fillId="0" borderId="1" xfId="6" applyNumberFormat="1" applyFont="1" applyBorder="1" applyAlignment="1">
      <alignment horizontal="right" vertical="top"/>
    </xf>
    <xf numFmtId="2"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xf>
    <xf numFmtId="1" fontId="0" fillId="0" borderId="0" xfId="0" applyNumberFormat="1" applyFont="1" applyBorder="1" applyAlignment="1">
      <alignment horizontal="center"/>
    </xf>
    <xf numFmtId="165" fontId="0" fillId="0" borderId="0" xfId="0" applyNumberFormat="1" applyFont="1" applyBorder="1" applyAlignment="1">
      <alignment horizontal="center"/>
    </xf>
    <xf numFmtId="165" fontId="0" fillId="0" borderId="4" xfId="0" applyNumberFormat="1" applyFont="1" applyFill="1" applyBorder="1" applyAlignment="1">
      <alignment horizontal="left" wrapText="1"/>
    </xf>
    <xf numFmtId="165" fontId="0" fillId="0" borderId="17" xfId="0" applyNumberFormat="1" applyFont="1" applyFill="1" applyBorder="1" applyAlignment="1">
      <alignment horizontal="left" wrapText="1"/>
    </xf>
    <xf numFmtId="0" fontId="4" fillId="0" borderId="0" xfId="0" applyFont="1" applyBorder="1" applyAlignment="1">
      <alignment horizontal="center" vertical="center"/>
    </xf>
    <xf numFmtId="0" fontId="0" fillId="0" borderId="0" xfId="0" applyFont="1" applyBorder="1" applyAlignment="1">
      <alignment vertical="center"/>
    </xf>
    <xf numFmtId="166" fontId="0" fillId="0" borderId="0" xfId="0" applyNumberFormat="1" applyFont="1" applyBorder="1" applyAlignment="1">
      <alignment vertical="center"/>
    </xf>
    <xf numFmtId="166" fontId="0" fillId="0" borderId="0" xfId="0" applyNumberFormat="1" applyFont="1" applyBorder="1"/>
    <xf numFmtId="166" fontId="4" fillId="0" borderId="0" xfId="0" applyNumberFormat="1" applyFont="1" applyBorder="1"/>
    <xf numFmtId="0" fontId="0" fillId="0" borderId="0" xfId="0" applyFont="1" applyBorder="1" applyAlignment="1">
      <alignment horizontal="center"/>
    </xf>
    <xf numFmtId="0" fontId="4" fillId="0" borderId="0" xfId="0" applyFont="1" applyBorder="1"/>
    <xf numFmtId="0" fontId="0" fillId="0" borderId="0" xfId="0" applyFont="1" applyBorder="1" applyAlignment="1">
      <alignment wrapText="1"/>
    </xf>
    <xf numFmtId="165" fontId="0" fillId="0" borderId="0" xfId="0" applyNumberFormat="1" applyFont="1" applyFill="1" applyBorder="1" applyAlignment="1">
      <alignment horizontal="left" wrapText="1"/>
    </xf>
    <xf numFmtId="170" fontId="7" fillId="0" borderId="2" xfId="2" applyNumberFormat="1" applyFont="1" applyBorder="1" applyAlignment="1">
      <alignment horizontal="right" vertical="top"/>
    </xf>
    <xf numFmtId="0" fontId="4" fillId="0" borderId="3" xfId="0" applyFont="1" applyBorder="1"/>
    <xf numFmtId="0" fontId="0" fillId="0" borderId="11" xfId="0" applyFont="1" applyBorder="1"/>
    <xf numFmtId="0" fontId="0" fillId="0" borderId="17" xfId="0" applyFont="1" applyBorder="1"/>
    <xf numFmtId="0" fontId="0" fillId="0" borderId="15" xfId="0" applyFont="1" applyBorder="1"/>
    <xf numFmtId="0" fontId="0" fillId="0" borderId="4" xfId="0" applyFont="1" applyBorder="1" applyAlignment="1">
      <alignment wrapText="1"/>
    </xf>
    <xf numFmtId="166" fontId="0" fillId="0" borderId="12" xfId="0" applyNumberFormat="1" applyFont="1" applyBorder="1"/>
    <xf numFmtId="0" fontId="4" fillId="0" borderId="6" xfId="0" applyFont="1" applyBorder="1"/>
    <xf numFmtId="166" fontId="0" fillId="0" borderId="6" xfId="0" applyNumberFormat="1" applyBorder="1"/>
    <xf numFmtId="0" fontId="24" fillId="0" borderId="6" xfId="0" applyFont="1" applyFill="1" applyBorder="1" applyAlignment="1">
      <alignment horizontal="center" vertical="center"/>
    </xf>
    <xf numFmtId="169" fontId="24" fillId="0" borderId="6" xfId="0" applyNumberFormat="1" applyFont="1" applyFill="1" applyBorder="1" applyAlignment="1">
      <alignment horizontal="center" vertical="center"/>
    </xf>
    <xf numFmtId="1" fontId="24" fillId="0" borderId="6" xfId="0" applyNumberFormat="1" applyFont="1" applyFill="1" applyBorder="1" applyAlignment="1">
      <alignment horizontal="center" vertical="center"/>
    </xf>
    <xf numFmtId="165" fontId="0" fillId="4" borderId="0" xfId="0" applyNumberFormat="1" applyFill="1"/>
    <xf numFmtId="2" fontId="24" fillId="4" borderId="0" xfId="0" applyNumberFormat="1" applyFont="1" applyFill="1" applyAlignment="1">
      <alignment vertical="center"/>
    </xf>
    <xf numFmtId="1" fontId="28" fillId="0" borderId="0" xfId="0" applyNumberFormat="1" applyFont="1" applyAlignment="1">
      <alignment vertical="center"/>
    </xf>
    <xf numFmtId="165" fontId="0" fillId="4" borderId="0" xfId="0" applyNumberFormat="1" applyFont="1" applyFill="1" applyBorder="1" applyAlignment="1">
      <alignment horizontal="center"/>
    </xf>
    <xf numFmtId="165" fontId="0" fillId="0" borderId="0" xfId="0" applyNumberFormat="1" applyFont="1" applyFill="1" applyBorder="1" applyAlignment="1">
      <alignment horizontal="left" vertical="center"/>
    </xf>
    <xf numFmtId="165" fontId="0" fillId="4" borderId="15" xfId="0" applyNumberFormat="1" applyFont="1" applyFill="1" applyBorder="1" applyAlignment="1">
      <alignment horizontal="center"/>
    </xf>
    <xf numFmtId="0" fontId="0" fillId="0" borderId="0" xfId="0" applyFont="1" applyAlignment="1">
      <alignment vertical="center"/>
    </xf>
    <xf numFmtId="0" fontId="24" fillId="0" borderId="3" xfId="0" applyFont="1" applyBorder="1" applyAlignment="1">
      <alignment vertical="center"/>
    </xf>
    <xf numFmtId="0" fontId="24" fillId="3" borderId="11" xfId="0" applyFont="1" applyFill="1" applyBorder="1" applyAlignment="1">
      <alignment horizontal="center" vertical="center"/>
    </xf>
    <xf numFmtId="0" fontId="25" fillId="0" borderId="11" xfId="0" applyFont="1" applyBorder="1" applyAlignment="1">
      <alignment vertical="center"/>
    </xf>
    <xf numFmtId="0" fontId="24" fillId="0" borderId="15" xfId="0" applyFont="1" applyBorder="1" applyAlignment="1">
      <alignment horizontal="center" vertical="center"/>
    </xf>
    <xf numFmtId="1" fontId="24" fillId="3" borderId="12"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164" fontId="41" fillId="0" borderId="0" xfId="0" applyNumberFormat="1" applyFont="1" applyAlignment="1">
      <alignment vertical="center"/>
    </xf>
    <xf numFmtId="167" fontId="14" fillId="0" borderId="1" xfId="1" applyNumberFormat="1" applyFont="1" applyBorder="1" applyAlignment="1">
      <alignment horizontal="right" vertical="center"/>
    </xf>
    <xf numFmtId="167" fontId="14" fillId="0" borderId="0" xfId="1" applyNumberFormat="1" applyFont="1" applyBorder="1" applyAlignment="1">
      <alignment horizontal="right" vertical="center"/>
    </xf>
    <xf numFmtId="0" fontId="24" fillId="0" borderId="0" xfId="0" applyFont="1" applyBorder="1" applyAlignment="1">
      <alignment horizontal="center" vertical="center"/>
    </xf>
    <xf numFmtId="1" fontId="24" fillId="0" borderId="0" xfId="0" applyNumberFormat="1" applyFont="1" applyBorder="1" applyAlignment="1">
      <alignment horizontal="center" vertical="center"/>
    </xf>
    <xf numFmtId="165" fontId="24" fillId="0" borderId="0" xfId="0" applyNumberFormat="1" applyFont="1" applyBorder="1" applyAlignment="1">
      <alignment horizontal="center" vertical="center"/>
    </xf>
    <xf numFmtId="1" fontId="24" fillId="0" borderId="3" xfId="0" applyNumberFormat="1" applyFont="1" applyFill="1" applyBorder="1" applyAlignment="1">
      <alignment horizontal="left" vertical="center"/>
    </xf>
    <xf numFmtId="165" fontId="25" fillId="0" borderId="10" xfId="0" applyNumberFormat="1" applyFont="1" applyFill="1" applyBorder="1" applyAlignment="1">
      <alignment horizontal="left" vertical="center"/>
    </xf>
    <xf numFmtId="165" fontId="24" fillId="0" borderId="11" xfId="0" applyNumberFormat="1" applyFont="1" applyFill="1" applyBorder="1" applyAlignment="1">
      <alignment horizontal="center" vertical="center"/>
    </xf>
    <xf numFmtId="1" fontId="24" fillId="0" borderId="4" xfId="0" applyNumberFormat="1" applyFont="1" applyFill="1" applyBorder="1" applyAlignment="1">
      <alignment horizontal="center" vertical="center"/>
    </xf>
    <xf numFmtId="165" fontId="25" fillId="0" borderId="7" xfId="0" applyNumberFormat="1" applyFont="1" applyFill="1" applyBorder="1" applyAlignment="1">
      <alignment horizontal="left" vertical="center"/>
    </xf>
    <xf numFmtId="2" fontId="24" fillId="0" borderId="7" xfId="0" applyNumberFormat="1" applyFont="1" applyFill="1" applyBorder="1" applyAlignment="1">
      <alignment horizontal="center" vertical="center"/>
    </xf>
    <xf numFmtId="165" fontId="24" fillId="0" borderId="12" xfId="0" applyNumberFormat="1" applyFont="1" applyFill="1" applyBorder="1" applyAlignment="1">
      <alignment horizontal="center" vertical="center"/>
    </xf>
    <xf numFmtId="1" fontId="24" fillId="0" borderId="0" xfId="0" applyNumberFormat="1" applyFont="1" applyFill="1" applyBorder="1" applyAlignment="1">
      <alignment horizontal="left" vertical="center"/>
    </xf>
    <xf numFmtId="165" fontId="24" fillId="0" borderId="0" xfId="0" applyNumberFormat="1" applyFont="1" applyFill="1" applyBorder="1" applyAlignment="1">
      <alignment horizontal="left" vertical="center"/>
    </xf>
    <xf numFmtId="165" fontId="24" fillId="4" borderId="0" xfId="0" applyNumberFormat="1" applyFont="1" applyFill="1" applyBorder="1" applyAlignment="1">
      <alignment horizontal="center" vertical="center"/>
    </xf>
    <xf numFmtId="0" fontId="0" fillId="0" borderId="0" xfId="0" applyAlignment="1">
      <alignment vertical="center"/>
    </xf>
    <xf numFmtId="0" fontId="2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5" fillId="0" borderId="6" xfId="0" applyFont="1" applyBorder="1" applyAlignment="1">
      <alignment horizontal="center" vertical="center"/>
    </xf>
    <xf numFmtId="0" fontId="24" fillId="0" borderId="0" xfId="0" applyFont="1" applyFill="1" applyBorder="1" applyAlignment="1">
      <alignment horizontal="left" vertical="center"/>
    </xf>
    <xf numFmtId="0" fontId="24" fillId="0" borderId="6" xfId="0" applyFont="1" applyBorder="1" applyAlignment="1">
      <alignment vertical="center"/>
    </xf>
    <xf numFmtId="0" fontId="24" fillId="0" borderId="6" xfId="0" applyFont="1" applyBorder="1" applyAlignment="1">
      <alignment horizontal="center" vertical="center"/>
    </xf>
    <xf numFmtId="0" fontId="41" fillId="0" borderId="0" xfId="0" applyFont="1" applyAlignment="1">
      <alignment vertical="center"/>
    </xf>
    <xf numFmtId="164" fontId="24" fillId="0" borderId="0" xfId="0" applyNumberFormat="1" applyFont="1" applyFill="1" applyBorder="1" applyAlignment="1">
      <alignment vertical="center"/>
    </xf>
    <xf numFmtId="0" fontId="27" fillId="0" borderId="6" xfId="0" applyFont="1" applyBorder="1" applyAlignment="1">
      <alignment vertical="center"/>
    </xf>
    <xf numFmtId="2" fontId="2" fillId="0" borderId="0"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1" fontId="2" fillId="0" borderId="9" xfId="0" applyNumberFormat="1" applyFont="1" applyFill="1" applyBorder="1" applyAlignment="1">
      <alignment horizontal="center" vertical="center"/>
    </xf>
    <xf numFmtId="1" fontId="13" fillId="0" borderId="9"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1" fontId="13" fillId="2" borderId="5" xfId="0" applyNumberFormat="1" applyFont="1" applyFill="1" applyBorder="1" applyAlignment="1" applyProtection="1">
      <alignment horizontal="center" vertical="center"/>
      <protection locked="0"/>
    </xf>
    <xf numFmtId="1" fontId="13" fillId="2" borderId="8" xfId="0" applyNumberFormat="1" applyFont="1" applyFill="1" applyBorder="1" applyAlignment="1" applyProtection="1">
      <alignment horizontal="center" vertical="center"/>
      <protection locked="0"/>
    </xf>
    <xf numFmtId="1" fontId="13" fillId="0" borderId="9" xfId="0" applyNumberFormat="1" applyFont="1" applyFill="1" applyBorder="1" applyAlignment="1" applyProtection="1">
      <alignment horizontal="center" vertical="center"/>
    </xf>
    <xf numFmtId="165" fontId="2" fillId="2" borderId="6" xfId="0" applyNumberFormat="1" applyFont="1" applyFill="1" applyBorder="1" applyAlignment="1" applyProtection="1">
      <alignment horizontal="center" vertical="center"/>
      <protection locked="0"/>
    </xf>
    <xf numFmtId="1" fontId="2" fillId="2" borderId="5"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0" borderId="9" xfId="0" applyNumberFormat="1" applyFont="1" applyFill="1" applyBorder="1" applyAlignment="1" applyProtection="1">
      <alignment horizontal="center" vertical="center"/>
    </xf>
    <xf numFmtId="1" fontId="2" fillId="2" borderId="6" xfId="0" applyNumberFormat="1" applyFont="1" applyFill="1" applyBorder="1" applyAlignment="1" applyProtection="1">
      <alignment horizontal="center" vertical="center"/>
      <protection locked="0"/>
    </xf>
    <xf numFmtId="165" fontId="13" fillId="2" borderId="5" xfId="0" applyNumberFormat="1" applyFont="1" applyFill="1" applyBorder="1" applyAlignment="1" applyProtection="1">
      <alignment horizontal="center" vertical="center"/>
      <protection locked="0"/>
    </xf>
    <xf numFmtId="1" fontId="42" fillId="0" borderId="15" xfId="0" applyNumberFormat="1" applyFont="1" applyFill="1" applyBorder="1" applyAlignment="1">
      <alignment horizontal="center" vertical="center"/>
    </xf>
    <xf numFmtId="1" fontId="42" fillId="0" borderId="12" xfId="0" applyNumberFormat="1" applyFont="1" applyFill="1" applyBorder="1" applyAlignment="1">
      <alignment horizontal="center" vertical="center"/>
    </xf>
    <xf numFmtId="1" fontId="42" fillId="0" borderId="11" xfId="0" applyNumberFormat="1" applyFont="1" applyFill="1" applyBorder="1" applyAlignment="1">
      <alignment horizontal="center" vertical="center"/>
    </xf>
    <xf numFmtId="1" fontId="2" fillId="2" borderId="9" xfId="0" applyNumberFormat="1" applyFont="1" applyFill="1" applyBorder="1" applyAlignment="1" applyProtection="1">
      <alignment horizontal="center" vertical="center"/>
      <protection locked="0"/>
    </xf>
    <xf numFmtId="1" fontId="42" fillId="0" borderId="18" xfId="0" applyNumberFormat="1" applyFont="1" applyFill="1" applyBorder="1" applyAlignment="1">
      <alignment horizontal="center" vertical="center"/>
    </xf>
    <xf numFmtId="165" fontId="42" fillId="0" borderId="18" xfId="0" applyNumberFormat="1" applyFont="1" applyFill="1" applyBorder="1" applyAlignment="1">
      <alignment horizontal="center" vertical="center"/>
    </xf>
    <xf numFmtId="1" fontId="13" fillId="2" borderId="9" xfId="0" applyNumberFormat="1" applyFont="1" applyFill="1" applyBorder="1" applyAlignment="1" applyProtection="1">
      <alignment horizontal="center" vertical="center"/>
      <protection locked="0"/>
    </xf>
    <xf numFmtId="1" fontId="24" fillId="4" borderId="10" xfId="0" applyNumberFormat="1" applyFont="1" applyFill="1" applyBorder="1" applyAlignment="1">
      <alignment horizontal="center" vertical="center"/>
    </xf>
    <xf numFmtId="165" fontId="24" fillId="0" borderId="0" xfId="0" applyNumberFormat="1" applyFont="1" applyFill="1" applyAlignment="1">
      <alignment vertical="center"/>
    </xf>
    <xf numFmtId="0" fontId="4" fillId="0" borderId="0" xfId="0" applyFont="1" applyAlignment="1">
      <alignment vertical="center"/>
    </xf>
    <xf numFmtId="0" fontId="2" fillId="2" borderId="6" xfId="0" applyFont="1" applyFill="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vertical="center"/>
    </xf>
    <xf numFmtId="0" fontId="2" fillId="2" borderId="8" xfId="0" applyFont="1" applyFill="1" applyBorder="1" applyAlignment="1" applyProtection="1">
      <alignment vertical="center"/>
      <protection locked="0"/>
    </xf>
    <xf numFmtId="0" fontId="8" fillId="0" borderId="0" xfId="0" applyFont="1" applyAlignment="1">
      <alignment vertical="center"/>
    </xf>
    <xf numFmtId="0" fontId="9" fillId="0" borderId="5" xfId="0" applyFont="1" applyBorder="1" applyAlignment="1">
      <alignment vertical="center"/>
    </xf>
    <xf numFmtId="0" fontId="9" fillId="0" borderId="0" xfId="0" applyFont="1" applyFill="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3" fillId="0" borderId="16" xfId="0" applyFont="1" applyBorder="1" applyAlignment="1">
      <alignment vertical="center"/>
    </xf>
    <xf numFmtId="1" fontId="2" fillId="0" borderId="6" xfId="0" applyNumberFormat="1" applyFont="1" applyBorder="1" applyAlignment="1">
      <alignment horizontal="center" vertical="center"/>
    </xf>
    <xf numFmtId="0" fontId="2" fillId="0" borderId="0" xfId="0" applyFont="1" applyAlignment="1">
      <alignment horizontal="center" vertical="center"/>
    </xf>
    <xf numFmtId="0" fontId="23" fillId="0" borderId="0" xfId="0" applyFont="1" applyAlignment="1">
      <alignment vertical="center"/>
    </xf>
    <xf numFmtId="0" fontId="2" fillId="0" borderId="0" xfId="0" applyFont="1" applyFill="1" applyBorder="1" applyAlignment="1">
      <alignment vertical="center"/>
    </xf>
    <xf numFmtId="0" fontId="13" fillId="0" borderId="0" xfId="0" applyFont="1" applyFill="1" applyBorder="1" applyAlignment="1">
      <alignment vertical="center"/>
    </xf>
    <xf numFmtId="0" fontId="2" fillId="0" borderId="13" xfId="0" applyFont="1" applyFill="1" applyBorder="1" applyAlignment="1">
      <alignment vertical="center"/>
    </xf>
    <xf numFmtId="0" fontId="11" fillId="0" borderId="10" xfId="0" applyFont="1" applyFill="1" applyBorder="1" applyAlignment="1">
      <alignment vertical="center"/>
    </xf>
    <xf numFmtId="0" fontId="11" fillId="0" borderId="0"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14" xfId="0" applyFont="1" applyFill="1" applyBorder="1" applyAlignment="1">
      <alignment vertical="center"/>
    </xf>
    <xf numFmtId="0" fontId="2" fillId="0" borderId="10" xfId="0" applyFont="1" applyFill="1" applyBorder="1" applyAlignment="1">
      <alignment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4" fillId="0" borderId="17"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7" fillId="0" borderId="0" xfId="0" applyFont="1" applyBorder="1" applyAlignment="1">
      <alignment vertical="center" wrapText="1"/>
    </xf>
    <xf numFmtId="2" fontId="27" fillId="0" borderId="0" xfId="0" applyNumberFormat="1" applyFont="1" applyBorder="1" applyAlignment="1">
      <alignment vertical="center" wrapText="1"/>
    </xf>
    <xf numFmtId="2" fontId="27" fillId="0" borderId="6" xfId="0" applyNumberFormat="1" applyFont="1" applyBorder="1" applyAlignment="1">
      <alignment vertical="center"/>
    </xf>
    <xf numFmtId="0" fontId="28" fillId="0" borderId="6" xfId="0" applyFont="1" applyBorder="1" applyAlignment="1">
      <alignment horizontal="center" vertical="center"/>
    </xf>
    <xf numFmtId="165" fontId="28" fillId="0" borderId="6" xfId="0" applyNumberFormat="1" applyFont="1" applyBorder="1" applyAlignment="1">
      <alignment horizontal="center" vertical="center"/>
    </xf>
    <xf numFmtId="1" fontId="2" fillId="0" borderId="0" xfId="0" applyNumberFormat="1" applyFont="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44" fillId="0" borderId="6" xfId="0" applyFont="1" applyBorder="1" applyAlignment="1">
      <alignment horizontal="center" vertical="center" wrapText="1"/>
    </xf>
    <xf numFmtId="0" fontId="21" fillId="5" borderId="6" xfId="0" applyFont="1" applyFill="1" applyBorder="1" applyAlignment="1">
      <alignment horizontal="center" vertical="center"/>
    </xf>
    <xf numFmtId="0" fontId="21" fillId="5" borderId="6" xfId="0" applyFont="1" applyFill="1" applyBorder="1" applyAlignment="1">
      <alignment vertical="center"/>
    </xf>
    <xf numFmtId="0" fontId="22" fillId="5" borderId="6" xfId="0" applyFont="1" applyFill="1" applyBorder="1" applyAlignment="1">
      <alignment horizontal="center" vertical="center"/>
    </xf>
    <xf numFmtId="0" fontId="22" fillId="5" borderId="6" xfId="0" applyFont="1" applyFill="1" applyBorder="1" applyAlignment="1">
      <alignment vertical="center" wrapText="1"/>
    </xf>
    <xf numFmtId="165" fontId="24" fillId="0" borderId="0" xfId="0" applyNumberFormat="1" applyFont="1" applyFill="1" applyBorder="1" applyAlignment="1">
      <alignment horizontal="left"/>
    </xf>
    <xf numFmtId="1" fontId="0" fillId="0" borderId="15" xfId="0" applyNumberFormat="1" applyBorder="1" applyAlignment="1">
      <alignment horizontal="center"/>
    </xf>
    <xf numFmtId="1" fontId="24" fillId="3" borderId="15" xfId="0" applyNumberFormat="1" applyFont="1" applyFill="1" applyBorder="1" applyAlignment="1">
      <alignment horizontal="center" vertical="center"/>
    </xf>
    <xf numFmtId="0" fontId="0" fillId="3" borderId="11" xfId="0" applyFill="1" applyBorder="1" applyAlignment="1">
      <alignment horizontal="center"/>
    </xf>
    <xf numFmtId="1" fontId="0" fillId="3" borderId="15" xfId="0" applyNumberFormat="1" applyFill="1" applyBorder="1" applyAlignment="1">
      <alignment horizontal="center"/>
    </xf>
    <xf numFmtId="0" fontId="0" fillId="3" borderId="12" xfId="0" applyFill="1" applyBorder="1" applyAlignment="1">
      <alignment horizontal="center"/>
    </xf>
    <xf numFmtId="1" fontId="0" fillId="0" borderId="12" xfId="0" applyNumberFormat="1" applyBorder="1" applyAlignment="1">
      <alignment horizontal="center"/>
    </xf>
    <xf numFmtId="1" fontId="0" fillId="3" borderId="12" xfId="0" applyNumberFormat="1" applyFill="1" applyBorder="1" applyAlignment="1">
      <alignment horizontal="center"/>
    </xf>
    <xf numFmtId="0" fontId="24" fillId="0" borderId="11" xfId="0" applyFont="1" applyBorder="1" applyAlignment="1">
      <alignment horizontal="center" vertical="center"/>
    </xf>
    <xf numFmtId="1" fontId="24" fillId="0" borderId="15" xfId="0" applyNumberFormat="1" applyFont="1" applyBorder="1" applyAlignment="1">
      <alignment horizontal="center" vertical="center"/>
    </xf>
    <xf numFmtId="1" fontId="24" fillId="0" borderId="12" xfId="0" applyNumberFormat="1" applyFont="1" applyBorder="1" applyAlignment="1">
      <alignment horizontal="center" vertical="center"/>
    </xf>
    <xf numFmtId="0" fontId="0" fillId="0" borderId="3" xfId="0" applyFont="1" applyBorder="1"/>
    <xf numFmtId="0" fontId="0" fillId="0" borderId="11" xfId="0" applyFont="1" applyBorder="1" applyAlignment="1">
      <alignment horizontal="center"/>
    </xf>
    <xf numFmtId="1" fontId="0" fillId="0" borderId="15" xfId="0" applyNumberFormat="1" applyFont="1" applyBorder="1" applyAlignment="1">
      <alignment horizontal="center"/>
    </xf>
    <xf numFmtId="0" fontId="0" fillId="0" borderId="15" xfId="0" applyFont="1" applyBorder="1" applyAlignment="1">
      <alignment horizontal="center"/>
    </xf>
    <xf numFmtId="0" fontId="0" fillId="0" borderId="4" xfId="0" applyFont="1" applyBorder="1"/>
    <xf numFmtId="1" fontId="0" fillId="0" borderId="12" xfId="0" applyNumberFormat="1" applyFont="1" applyBorder="1" applyAlignment="1">
      <alignment horizontal="center"/>
    </xf>
    <xf numFmtId="165" fontId="0" fillId="0" borderId="12" xfId="0" applyNumberFormat="1" applyBorder="1" applyAlignment="1">
      <alignment horizontal="center"/>
    </xf>
    <xf numFmtId="0" fontId="0" fillId="0" borderId="11" xfId="0" applyBorder="1"/>
    <xf numFmtId="2" fontId="2" fillId="0" borderId="0" xfId="0" applyNumberFormat="1" applyFont="1" applyFill="1" applyBorder="1" applyAlignment="1" applyProtection="1">
      <alignment horizontal="center" vertical="center"/>
    </xf>
    <xf numFmtId="0" fontId="44" fillId="0" borderId="19" xfId="0" applyFont="1" applyBorder="1" applyAlignment="1">
      <alignment horizontal="center" vertical="center" wrapText="1"/>
    </xf>
    <xf numFmtId="165" fontId="2" fillId="0" borderId="3" xfId="0"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44" fillId="0" borderId="6" xfId="0" applyFont="1" applyBorder="1" applyAlignment="1">
      <alignment vertical="center"/>
    </xf>
    <xf numFmtId="0" fontId="2" fillId="0" borderId="6" xfId="0" applyFont="1" applyFill="1" applyBorder="1" applyAlignment="1">
      <alignment horizontal="center" vertical="center"/>
    </xf>
    <xf numFmtId="0" fontId="11" fillId="0" borderId="6" xfId="0" applyFont="1" applyFill="1" applyBorder="1" applyAlignment="1">
      <alignment horizontal="center" vertical="center"/>
    </xf>
    <xf numFmtId="0" fontId="24" fillId="0" borderId="6" xfId="0" applyFont="1" applyBorder="1" applyAlignment="1">
      <alignment vertical="center" wrapText="1"/>
    </xf>
    <xf numFmtId="0" fontId="24" fillId="0" borderId="6" xfId="0" applyFont="1" applyBorder="1" applyAlignment="1">
      <alignment horizontal="left" vertical="center"/>
    </xf>
    <xf numFmtId="0" fontId="25" fillId="0" borderId="6" xfId="0" applyFont="1" applyBorder="1" applyAlignment="1">
      <alignment vertical="center"/>
    </xf>
    <xf numFmtId="0" fontId="25" fillId="0" borderId="0" xfId="0" applyFont="1" applyAlignment="1">
      <alignment horizontal="center" vertical="center" wrapText="1"/>
    </xf>
    <xf numFmtId="0" fontId="43" fillId="0" borderId="0" xfId="0" applyFont="1" applyAlignment="1">
      <alignment horizontal="center" vertical="center"/>
    </xf>
    <xf numFmtId="0" fontId="2" fillId="0" borderId="0" xfId="0" applyFont="1" applyAlignment="1">
      <alignment horizontal="center" vertical="center"/>
    </xf>
  </cellXfs>
  <cellStyles count="7">
    <cellStyle name="Normal" xfId="0" builtinId="0"/>
    <cellStyle name="Normal_Ark1" xfId="1" xr:uid="{00000000-0005-0000-0000-000001000000}"/>
    <cellStyle name="Normal_basis" xfId="2" xr:uid="{00000000-0005-0000-0000-000002000000}"/>
    <cellStyle name="Normal_basis_1" xfId="4" xr:uid="{00000000-0005-0000-0000-000003000000}"/>
    <cellStyle name="Normal_data" xfId="5" xr:uid="{00000000-0005-0000-0000-000004000000}"/>
    <cellStyle name="Normal_deskript" xfId="3" xr:uid="{00000000-0005-0000-0000-000005000000}"/>
    <cellStyle name="Normal_deskriptiv" xfId="6" xr:uid="{00000000-0005-0000-0000-000006000000}"/>
  </cellStyles>
  <dxfs count="10">
    <dxf>
      <font>
        <b val="0"/>
        <i val="0"/>
        <strike val="0"/>
        <condense val="0"/>
        <extend val="0"/>
        <outline val="0"/>
        <shadow val="0"/>
        <u val="none"/>
        <vertAlign val="baseline"/>
        <sz val="8"/>
        <color theme="1"/>
        <name val="Arial"/>
        <scheme val="none"/>
      </font>
      <fill>
        <patternFill patternType="none">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8"/>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dxf>
    <dxf>
      <font>
        <b val="0"/>
        <i val="0"/>
        <strike val="0"/>
        <condense val="0"/>
        <extend val="0"/>
        <outline val="0"/>
        <shadow val="0"/>
        <u val="none"/>
        <vertAlign val="baseline"/>
        <sz val="8"/>
        <color theme="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border>
      <protection locked="0" hidden="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Arial"/>
        <scheme val="none"/>
      </font>
      <fill>
        <patternFill patternType="none">
          <bgColor indexed="65"/>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none">
          <bgColor indexed="65"/>
        </patternFill>
      </fill>
      <alignment horizontal="center" vertical="center" textRotation="0" indent="0" justifyLastLine="0" shrinkToFit="0" readingOrder="0"/>
    </dxf>
  </dxfs>
  <tableStyles count="0" defaultTableStyle="TableStyleMedium9" defaultPivotStyle="PivotStyleLight16"/>
  <colors>
    <mruColors>
      <color rgb="FF66FFCC"/>
      <color rgb="FFCCFFFF"/>
      <color rgb="FF66FFFF"/>
      <color rgb="FFFFDAB1"/>
      <color rgb="FFFED4B2"/>
      <color rgb="FF23FDA5"/>
      <color rgb="FF22FECA"/>
      <color rgb="FF23FD3D"/>
      <color rgb="FF9AFD23"/>
      <color rgb="FF99EC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69273</xdr:colOff>
      <xdr:row>33</xdr:row>
      <xdr:rowOff>66675</xdr:rowOff>
    </xdr:from>
    <xdr:to>
      <xdr:col>5</xdr:col>
      <xdr:colOff>1401536</xdr:colOff>
      <xdr:row>77</xdr:row>
      <xdr:rowOff>0</xdr:rowOff>
    </xdr:to>
    <xdr:sp macro="" textlink="">
      <xdr:nvSpPr>
        <xdr:cNvPr id="2" name="Tekstfelt 1">
          <a:extLst>
            <a:ext uri="{FF2B5EF4-FFF2-40B4-BE49-F238E27FC236}">
              <a16:creationId xmlns:a16="http://schemas.microsoft.com/office/drawing/2014/main" id="{B411F53C-DFF4-4D42-BA69-7134D0B406F7}"/>
            </a:ext>
          </a:extLst>
        </xdr:cNvPr>
        <xdr:cNvSpPr txBox="1"/>
      </xdr:nvSpPr>
      <xdr:spPr>
        <a:xfrm>
          <a:off x="69273" y="6575425"/>
          <a:ext cx="9428513" cy="6918325"/>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chemeClr val="dk1"/>
              </a:solidFill>
              <a:effectLst/>
              <a:latin typeface="+mn-lt"/>
              <a:ea typeface="+mn-ea"/>
              <a:cs typeface="+mn-cs"/>
            </a:rPr>
            <a:t>Hvordan</a:t>
          </a:r>
          <a:r>
            <a:rPr lang="da-DK" sz="1200" b="1" baseline="0">
              <a:solidFill>
                <a:schemeClr val="dk1"/>
              </a:solidFill>
              <a:effectLst/>
              <a:latin typeface="+mn-lt"/>
              <a:ea typeface="+mn-ea"/>
              <a:cs typeface="+mn-cs"/>
            </a:rPr>
            <a:t> fungerer scorings</a:t>
          </a:r>
          <a:r>
            <a:rPr lang="da-DK" sz="1200" b="1">
              <a:solidFill>
                <a:schemeClr val="dk1"/>
              </a:solidFill>
              <a:effectLst/>
              <a:latin typeface="+mn-lt"/>
              <a:ea typeface="+mn-ea"/>
              <a:cs typeface="+mn-cs"/>
            </a:rPr>
            <a:t>programmet?</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1) Forventet score</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Programmet beregner vha regressionsligninger forventede scores på baggrund af de indtastede oplysninger om prøvepersonens alder og uddannelsesniveau</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2) Ca. percentilværdi af observeret score</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Med udgangspunkt i det bagvedliggende poolede danske normmateriale beregner programmet omtrentlige percentilværdier svarende til de indtastede scores. Percentilværdierne er således individuelt tilpasset personens alder og niveau af skolegang og uddannelse. Det gælder for alle tests, at lavere percentilværdier (&lt;50) svarer til en præstation under middel, mens højere percentilværdier (&gt;50) svarer til en præstation over middel.</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3) Observeret minus forventet score</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Dette er blot differencen mellem indtastet og forventet score (udtrykt i råscoreværdier).</a:t>
          </a:r>
        </a:p>
        <a:p>
          <a:r>
            <a:rPr lang="da-DK" sz="900">
              <a:solidFill>
                <a:schemeClr val="dk1"/>
              </a:solidFill>
              <a:effectLst/>
              <a:latin typeface="+mn-lt"/>
              <a:ea typeface="+mn-ea"/>
              <a:cs typeface="+mn-cs"/>
            </a:rPr>
            <a:t>Vær opmærksom på, at fortolkning af observerede scores og differencer afhænger af den konkrete test:</a:t>
          </a:r>
        </a:p>
        <a:p>
          <a:r>
            <a:rPr lang="da-DK" sz="900">
              <a:solidFill>
                <a:schemeClr val="dk1"/>
              </a:solidFill>
              <a:effectLst/>
              <a:latin typeface="+mn-lt"/>
              <a:ea typeface="+mn-ea"/>
              <a:cs typeface="+mn-cs"/>
            </a:rPr>
            <a:t>Ved fx SDMT betyder en høj observeret score (og en positiv difference), at prøvepersonen klarer sig bedre end forventet (forarbejder flere symbol-tal kombinationer end forventet). Ved fx </a:t>
          </a:r>
          <a:r>
            <a:rPr lang="da-DK" sz="900" i="1">
              <a:solidFill>
                <a:schemeClr val="dk1"/>
              </a:solidFill>
              <a:effectLst/>
              <a:latin typeface="+mn-lt"/>
              <a:ea typeface="+mn-ea"/>
              <a:cs typeface="+mn-cs"/>
            </a:rPr>
            <a:t>Trail Making</a:t>
          </a:r>
          <a:r>
            <a:rPr lang="da-DK" sz="900">
              <a:solidFill>
                <a:schemeClr val="dk1"/>
              </a:solidFill>
              <a:effectLst/>
              <a:latin typeface="+mn-lt"/>
              <a:ea typeface="+mn-ea"/>
              <a:cs typeface="+mn-cs"/>
            </a:rPr>
            <a:t> betyder en høj observeret score (og igen en positiv difference), at prøvepersonen klarer sig dårligere end forventet (bruger mere tid på at gennemføre testen)</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4) Observeret minus forventet score udtrykt i standardafvigelser</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Dette er differencen mellem indtastet og forventet score udtrykt i standardafvigelser (SD) for pågældende test, hvilket kan være en hjælp til at fortolke resultatet. Standardafvigelserne stammer fra det poolede danske normmateriale og er forskellige fra test til test.</a:t>
          </a:r>
        </a:p>
        <a:p>
          <a:r>
            <a:rPr lang="da-DK" sz="900">
              <a:solidFill>
                <a:schemeClr val="dk1"/>
              </a:solidFill>
              <a:effectLst/>
              <a:latin typeface="+mn-lt"/>
              <a:ea typeface="+mn-ea"/>
              <a:cs typeface="+mn-cs"/>
            </a:rPr>
            <a:t>Flere af testene - </a:t>
          </a:r>
          <a:r>
            <a:rPr lang="da-DK" sz="900" i="1">
              <a:solidFill>
                <a:schemeClr val="dk1"/>
              </a:solidFill>
              <a:effectLst/>
              <a:latin typeface="+mn-lt"/>
              <a:ea typeface="+mn-ea"/>
              <a:cs typeface="+mn-cs"/>
            </a:rPr>
            <a:t>Trail Making</a:t>
          </a:r>
          <a:r>
            <a:rPr lang="da-DK" sz="900">
              <a:solidFill>
                <a:schemeClr val="dk1"/>
              </a:solidFill>
              <a:effectLst/>
              <a:latin typeface="+mn-lt"/>
              <a:ea typeface="+mn-ea"/>
              <a:cs typeface="+mn-cs"/>
            </a:rPr>
            <a:t> A og B, Listeindlæring, </a:t>
          </a:r>
          <a:r>
            <a:rPr lang="da-DK" sz="900" i="1">
              <a:solidFill>
                <a:schemeClr val="dk1"/>
              </a:solidFill>
              <a:effectLst/>
              <a:latin typeface="+mn-lt"/>
              <a:ea typeface="+mn-ea"/>
              <a:cs typeface="+mn-cs"/>
            </a:rPr>
            <a:t>Recognition Memory Test</a:t>
          </a:r>
          <a:r>
            <a:rPr lang="da-DK" sz="900">
              <a:solidFill>
                <a:schemeClr val="dk1"/>
              </a:solidFill>
              <a:effectLst/>
              <a:latin typeface="+mn-lt"/>
              <a:ea typeface="+mn-ea"/>
              <a:cs typeface="+mn-cs"/>
            </a:rPr>
            <a:t> og </a:t>
          </a:r>
          <a:r>
            <a:rPr lang="da-DK" sz="900" i="1">
              <a:solidFill>
                <a:schemeClr val="dk1"/>
              </a:solidFill>
              <a:effectLst/>
              <a:latin typeface="+mn-lt"/>
              <a:ea typeface="+mn-ea"/>
              <a:cs typeface="+mn-cs"/>
            </a:rPr>
            <a:t>Rey Complex Figure</a:t>
          </a:r>
          <a:r>
            <a:rPr lang="da-DK" sz="900">
              <a:solidFill>
                <a:schemeClr val="dk1"/>
              </a:solidFill>
              <a:effectLst/>
              <a:latin typeface="+mn-lt"/>
              <a:ea typeface="+mn-ea"/>
              <a:cs typeface="+mn-cs"/>
            </a:rPr>
            <a:t>, kopiering - har skævt fordelte normdata. For disse tests udgør SD ikke nogen relevant målestok, og det giver ikke mening at udtrykke differencen mellem observeret og forventet score i SD.</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Eksempel</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En 45-årig person med en skole-/uddannelsesscore på 13 opnår en score på 34 i SDMT-testen. Programmet oplyser, at den tilsvarende percentilværdi er 10. Det betyder, at ca. 10 % af en gruppe personer med samme alder og uddannelsesniveau som prøvepersonen forventes at klare sig lige dårligere end denne. Tilsvarende forventes ca. 90 % af en gruppe personer med samme alder og uddannelsesniveau at klare sig bedre.</a:t>
          </a:r>
        </a:p>
        <a:p>
          <a:r>
            <a:rPr lang="da-DK" sz="900">
              <a:solidFill>
                <a:schemeClr val="dk1"/>
              </a:solidFill>
              <a:effectLst/>
              <a:latin typeface="+mn-lt"/>
              <a:ea typeface="+mn-ea"/>
              <a:cs typeface="+mn-cs"/>
            </a:rPr>
            <a:t> </a:t>
          </a:r>
        </a:p>
        <a:p>
          <a:r>
            <a:rPr lang="da-DK" sz="900">
              <a:solidFill>
                <a:schemeClr val="dk1"/>
              </a:solidFill>
              <a:effectLst/>
              <a:latin typeface="+mn-lt"/>
              <a:ea typeface="+mn-ea"/>
              <a:cs typeface="+mn-cs"/>
            </a:rPr>
            <a:t>Endvidere ses, at den forventede score for personer med denne alder og dette uddannelsesniveau er ca. 50 point. Differencen mellem indtastet og forventet score er -16 point (34-50). Da SD for SDMT i det danske normmateriale er 12,6, svarer en difference på -16 point til ca. -1,3 SD. Det indtastede SDMT-resultat ligger med andre ord ca. 1,3 SD under det forventede (i en normalfordeling</a:t>
          </a:r>
          <a:r>
            <a:rPr lang="da-DK" sz="900" baseline="0">
              <a:solidFill>
                <a:schemeClr val="dk1"/>
              </a:solidFill>
              <a:effectLst/>
              <a:latin typeface="+mn-lt"/>
              <a:ea typeface="+mn-ea"/>
              <a:cs typeface="+mn-cs"/>
            </a:rPr>
            <a:t> svarer 10-percentilen til ca. -1,3 SD)</a:t>
          </a:r>
          <a:r>
            <a:rPr lang="da-DK" sz="900">
              <a:solidFill>
                <a:schemeClr val="dk1"/>
              </a:solidFill>
              <a:effectLst/>
              <a:latin typeface="+mn-lt"/>
              <a:ea typeface="+mn-ea"/>
              <a:cs typeface="+mn-cs"/>
            </a:rPr>
            <a:t>.</a:t>
          </a:r>
        </a:p>
        <a:p>
          <a:r>
            <a:rPr lang="da-DK" sz="900">
              <a:solidFill>
                <a:schemeClr val="dk1"/>
              </a:solidFill>
              <a:effectLst/>
              <a:latin typeface="+mn-lt"/>
              <a:ea typeface="+mn-ea"/>
              <a:cs typeface="+mn-cs"/>
            </a:rPr>
            <a:t> </a:t>
          </a:r>
        </a:p>
        <a:p>
          <a:r>
            <a:rPr lang="da-DK" sz="900" b="1">
              <a:solidFill>
                <a:schemeClr val="dk1"/>
              </a:solidFill>
              <a:effectLst/>
              <a:latin typeface="+mn-lt"/>
              <a:ea typeface="+mn-ea"/>
              <a:cs typeface="+mn-cs"/>
            </a:rPr>
            <a:t>Korrektion for skolegang og uddannelsesniveau</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De forventede scores er korrigeret for både alder og niveau af skolegang og uddannelse, hvilket direkte påvirker percentilværdierne for de indtastede scores.</a:t>
          </a:r>
        </a:p>
        <a:p>
          <a:r>
            <a:rPr lang="da-DK" sz="900">
              <a:solidFill>
                <a:schemeClr val="dk1"/>
              </a:solidFill>
              <a:effectLst/>
              <a:latin typeface="+mn-lt"/>
              <a:ea typeface="+mn-ea"/>
              <a:cs typeface="+mn-cs"/>
            </a:rPr>
            <a:t>For en person med en lav skole-/uddannelsesscore beregnes automatisk en lavere forventet score og dermed et lavere sammenligningsgrundlag. Det betyder i praksis, at en testpræstation, der umiddelbart kunne se ret beskeden ud, opnår en relativt højere percentilværdi. Herved modvirkes fejlagtig 'undervurdering' af personer med kort skolegang og/eller lavt uddannelsesniveau.</a:t>
          </a:r>
        </a:p>
        <a:p>
          <a:r>
            <a:rPr lang="da-DK" sz="900">
              <a:solidFill>
                <a:schemeClr val="dk1"/>
              </a:solidFill>
              <a:effectLst/>
              <a:latin typeface="+mn-lt"/>
              <a:ea typeface="+mn-ea"/>
              <a:cs typeface="+mn-cs"/>
            </a:rPr>
            <a:t>For en person med en høj skole-/uddannelsesscore går korrektionen i den modsatte retning: den forventede score er højere, og en testpræstation, der umiddelbart kunne se ret 'god' ud, tildeles en relativt lavere percentilværdi. Denne justering har tilsvarende til formål at modvirke fejlagtig 'overvurdering' af personer med højt uddannelsesniveau.</a:t>
          </a:r>
        </a:p>
        <a:p>
          <a:r>
            <a:rPr lang="da-DK" sz="900">
              <a:solidFill>
                <a:schemeClr val="dk1"/>
              </a:solidFill>
              <a:effectLst/>
              <a:latin typeface="+mn-lt"/>
              <a:ea typeface="+mn-ea"/>
              <a:cs typeface="+mn-cs"/>
            </a:rPr>
            <a:t> </a:t>
          </a:r>
        </a:p>
        <a:p>
          <a:r>
            <a:rPr lang="da-DK" sz="900">
              <a:solidFill>
                <a:schemeClr val="dk1"/>
              </a:solidFill>
              <a:effectLst/>
              <a:latin typeface="+mn-lt"/>
              <a:ea typeface="+mn-ea"/>
              <a:cs typeface="+mn-cs"/>
            </a:rPr>
            <a:t>For flertallet af testene er der ikke signifikant forskel mellem kvinders og mænds præstationsniveau. Dog udgør 'Listeindlæring med selektiv påmindelse' et særtilfælde, idet kvinder ifølge det poolede danske normmateriale har signifikant færre fejl ved indlæring end mænd. Vær derfor opmærksom på, at testscoren for en mandlig prøveperson ikke ved en fejl indtastes i feltet for kvinder - eller omvendt.</a:t>
          </a:r>
        </a:p>
        <a:p>
          <a:r>
            <a:rPr lang="da-DK" sz="900">
              <a:solidFill>
                <a:schemeClr val="dk1"/>
              </a:solidFill>
              <a:effectLst/>
              <a:latin typeface="+mn-lt"/>
              <a:ea typeface="+mn-ea"/>
              <a:cs typeface="+mn-cs"/>
            </a:rPr>
            <a:t> </a:t>
          </a:r>
        </a:p>
        <a:p>
          <a:r>
            <a:rPr lang="da-DK" sz="900">
              <a:solidFill>
                <a:schemeClr val="dk1"/>
              </a:solidFill>
              <a:effectLst/>
              <a:latin typeface="+mn-lt"/>
              <a:ea typeface="+mn-ea"/>
              <a:cs typeface="+mn-cs"/>
            </a:rPr>
            <a:t>Læs mere om de enkelte tests og om det poolede danske normmateriale i Jørgensen, K. Danske normer til neuropsykologiske tests. Dansk Psykologisk Forlag. 2012.</a:t>
          </a:r>
        </a:p>
        <a:p>
          <a:r>
            <a:rPr lang="da-DK" sz="900">
              <a:solidFill>
                <a:schemeClr val="dk1"/>
              </a:solidFill>
              <a:effectLst/>
              <a:latin typeface="+mn-lt"/>
              <a:ea typeface="+mn-ea"/>
              <a:cs typeface="+mn-cs"/>
            </a:rPr>
            <a:t>En mere teknisk betonet gennemgang</a:t>
          </a:r>
          <a:r>
            <a:rPr lang="da-DK" sz="900" baseline="0">
              <a:solidFill>
                <a:schemeClr val="dk1"/>
              </a:solidFill>
              <a:effectLst/>
              <a:latin typeface="+mn-lt"/>
              <a:ea typeface="+mn-ea"/>
              <a:cs typeface="+mn-cs"/>
            </a:rPr>
            <a:t> af programmets virkemåde kan læses i fanebladet 'forklaring'.</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 </a:t>
          </a:r>
        </a:p>
        <a:p>
          <a:r>
            <a:rPr lang="da-DK" sz="900">
              <a:solidFill>
                <a:schemeClr val="dk1"/>
              </a:solidFill>
              <a:effectLst/>
              <a:latin typeface="+mn-lt"/>
              <a:ea typeface="+mn-ea"/>
              <a:cs typeface="+mn-cs"/>
            </a:rPr>
            <a:t>Kasper Jørgensen 2023</a:t>
          </a:r>
          <a:r>
            <a:rPr lang="da-DK" sz="1100"/>
            <a:t>								</a:t>
          </a:r>
          <a:r>
            <a:rPr lang="da-DK" sz="400"/>
            <a:t>afbeskyt ark: kj</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57150</xdr:rowOff>
    </xdr:from>
    <xdr:to>
      <xdr:col>20</xdr:col>
      <xdr:colOff>38100</xdr:colOff>
      <xdr:row>44</xdr:row>
      <xdr:rowOff>276225</xdr:rowOff>
    </xdr:to>
    <xdr:sp macro="" textlink="">
      <xdr:nvSpPr>
        <xdr:cNvPr id="6" name="Tekstfelt 5">
          <a:extLst>
            <a:ext uri="{FF2B5EF4-FFF2-40B4-BE49-F238E27FC236}">
              <a16:creationId xmlns:a16="http://schemas.microsoft.com/office/drawing/2014/main" id="{C92B5593-0F57-4D37-A685-983F53CDEBFF}"/>
            </a:ext>
          </a:extLst>
        </xdr:cNvPr>
        <xdr:cNvSpPr txBox="1"/>
      </xdr:nvSpPr>
      <xdr:spPr>
        <a:xfrm>
          <a:off x="685800" y="209550"/>
          <a:ext cx="11544300" cy="6772275"/>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Sådan fungerer scoringsprogrammet rent teknisk</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Scoringsprogrammet benytter forskellige beregningsmodeller afhængigt af fordelingen af de underliggende poolede danske normdata (1).</a:t>
          </a:r>
        </a:p>
        <a:p>
          <a:r>
            <a:rPr lang="da-DK" sz="1100">
              <a:solidFill>
                <a:schemeClr val="dk1"/>
              </a:solidFill>
              <a:effectLst/>
              <a:latin typeface="+mn-lt"/>
              <a:ea typeface="+mn-ea"/>
              <a:cs typeface="+mn-cs"/>
            </a:rPr>
            <a:t>For mange tests vedkommende – SDMT, kategoristyret hukommelsestest 64 ord, styret ordmobilisering (dyr og S-ord), Fem-punkts test, Street og RCFT umiddelbar genkaldelse – er </a:t>
          </a:r>
          <a:r>
            <a:rPr lang="da-DK" sz="1100" i="1">
              <a:solidFill>
                <a:schemeClr val="dk1"/>
              </a:solidFill>
              <a:effectLst/>
              <a:latin typeface="+mn-lt"/>
              <a:ea typeface="+mn-ea"/>
              <a:cs typeface="+mn-cs"/>
            </a:rPr>
            <a:t>skewness</a:t>
          </a:r>
          <a:r>
            <a:rPr lang="da-DK" sz="1100">
              <a:solidFill>
                <a:schemeClr val="dk1"/>
              </a:solidFill>
              <a:effectLst/>
              <a:latin typeface="+mn-lt"/>
              <a:ea typeface="+mn-ea"/>
              <a:cs typeface="+mn-cs"/>
            </a:rPr>
            <a:t> så begrænset, at de beregningsmæssigt kan håndteres som normalfordelte.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andre tests vedkommende – </a:t>
          </a:r>
          <a:r>
            <a:rPr lang="da-DK" sz="1100" i="1">
              <a:solidFill>
                <a:schemeClr val="dk1"/>
              </a:solidFill>
              <a:effectLst/>
              <a:latin typeface="+mn-lt"/>
              <a:ea typeface="+mn-ea"/>
              <a:cs typeface="+mn-cs"/>
            </a:rPr>
            <a:t>Trail Making A</a:t>
          </a:r>
          <a:r>
            <a:rPr lang="da-DK" sz="1100">
              <a:solidFill>
                <a:schemeClr val="dk1"/>
              </a:solidFill>
              <a:effectLst/>
              <a:latin typeface="+mn-lt"/>
              <a:ea typeface="+mn-ea"/>
              <a:cs typeface="+mn-cs"/>
            </a:rPr>
            <a:t> og </a:t>
          </a:r>
          <a:r>
            <a:rPr lang="da-DK" sz="1100" i="1">
              <a:solidFill>
                <a:schemeClr val="dk1"/>
              </a:solidFill>
              <a:effectLst/>
              <a:latin typeface="+mn-lt"/>
              <a:ea typeface="+mn-ea"/>
              <a:cs typeface="+mn-cs"/>
            </a:rPr>
            <a:t>B</a:t>
          </a:r>
          <a:r>
            <a:rPr lang="da-DK" sz="1100">
              <a:solidFill>
                <a:schemeClr val="dk1"/>
              </a:solidFill>
              <a:effectLst/>
              <a:latin typeface="+mn-lt"/>
              <a:ea typeface="+mn-ea"/>
              <a:cs typeface="+mn-cs"/>
            </a:rPr>
            <a:t>, listeindlæring – præges datafordelingen af moderat til stærk </a:t>
          </a:r>
          <a:r>
            <a:rPr lang="da-DK" sz="1100" i="1">
              <a:solidFill>
                <a:schemeClr val="dk1"/>
              </a:solidFill>
              <a:effectLst/>
              <a:latin typeface="+mn-lt"/>
              <a:ea typeface="+mn-ea"/>
              <a:cs typeface="+mn-cs"/>
            </a:rPr>
            <a:t>skewness</a:t>
          </a:r>
          <a:r>
            <a:rPr lang="da-DK" sz="1100">
              <a:solidFill>
                <a:schemeClr val="dk1"/>
              </a:solidFill>
              <a:effectLst/>
              <a:latin typeface="+mn-lt"/>
              <a:ea typeface="+mn-ea"/>
              <a:cs typeface="+mn-cs"/>
            </a:rPr>
            <a:t> (&gt; ca. 0,5 eller &lt; ca. -0,5). Her er der foretaget en transformation af råscores vha. 10-tals logaritmen, hvilket reducerer </a:t>
          </a:r>
          <a:r>
            <a:rPr lang="da-DK" sz="1100" i="1">
              <a:solidFill>
                <a:schemeClr val="dk1"/>
              </a:solidFill>
              <a:effectLst/>
              <a:latin typeface="+mn-lt"/>
              <a:ea typeface="+mn-ea"/>
              <a:cs typeface="+mn-cs"/>
            </a:rPr>
            <a:t>skewness</a:t>
          </a:r>
          <a:r>
            <a:rPr lang="da-DK" sz="1100">
              <a:solidFill>
                <a:schemeClr val="dk1"/>
              </a:solidFill>
              <a:effectLst/>
              <a:latin typeface="+mn-lt"/>
              <a:ea typeface="+mn-ea"/>
              <a:cs typeface="+mn-cs"/>
            </a:rPr>
            <a:t> tilstrækkeligt til, at de transformerede værdier kan håndteres som normalfordelte.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Figurerne til venstre viser scorefordelingen for </a:t>
          </a:r>
          <a:r>
            <a:rPr lang="da-DK" sz="1100" i="1">
              <a:solidFill>
                <a:schemeClr val="dk1"/>
              </a:solidFill>
              <a:effectLst/>
              <a:latin typeface="+mn-lt"/>
              <a:ea typeface="+mn-ea"/>
              <a:cs typeface="+mn-cs"/>
            </a:rPr>
            <a:t>Trail Making A</a:t>
          </a:r>
          <a:r>
            <a:rPr lang="da-DK" sz="1100">
              <a:solidFill>
                <a:schemeClr val="dk1"/>
              </a:solidFill>
              <a:effectLst/>
              <a:latin typeface="+mn-lt"/>
              <a:ea typeface="+mn-ea"/>
              <a:cs typeface="+mn-cs"/>
            </a:rPr>
            <a:t> før og efter log10-transformation.</a:t>
          </a:r>
        </a:p>
        <a:p>
          <a:r>
            <a:rPr lang="da-DK" sz="1100">
              <a:solidFill>
                <a:schemeClr val="dk1"/>
              </a:solidFill>
              <a:effectLst/>
              <a:latin typeface="+mn-lt"/>
              <a:ea typeface="+mn-ea"/>
              <a:cs typeface="+mn-cs"/>
            </a:rPr>
            <a:t>De log10-transformerede data fremtræder visuelt tæt på en normalfordeling, hvilket understøttes af en </a:t>
          </a:r>
          <a:r>
            <a:rPr lang="da-DK" sz="1100" i="1">
              <a:solidFill>
                <a:schemeClr val="dk1"/>
              </a:solidFill>
              <a:effectLst/>
              <a:latin typeface="+mn-lt"/>
              <a:ea typeface="+mn-ea"/>
              <a:cs typeface="+mn-cs"/>
            </a:rPr>
            <a:t>test of normality</a:t>
          </a:r>
          <a:r>
            <a:rPr lang="da-DK" sz="1100">
              <a:solidFill>
                <a:schemeClr val="dk1"/>
              </a:solidFill>
              <a:effectLst/>
              <a:latin typeface="+mn-lt"/>
              <a:ea typeface="+mn-ea"/>
              <a:cs typeface="+mn-cs"/>
            </a:rPr>
            <a:t> (råscores: </a:t>
          </a:r>
          <a:r>
            <a:rPr lang="da-DK" sz="1100" i="1">
              <a:solidFill>
                <a:schemeClr val="dk1"/>
              </a:solidFill>
              <a:effectLst/>
              <a:latin typeface="+mn-lt"/>
              <a:ea typeface="+mn-ea"/>
              <a:cs typeface="+mn-cs"/>
            </a:rPr>
            <a:t>Shapiro-Wilk statistic</a:t>
          </a:r>
          <a:r>
            <a:rPr lang="da-DK" sz="1100">
              <a:solidFill>
                <a:schemeClr val="dk1"/>
              </a:solidFill>
              <a:effectLst/>
              <a:latin typeface="+mn-lt"/>
              <a:ea typeface="+mn-ea"/>
              <a:cs typeface="+mn-cs"/>
            </a:rPr>
            <a:t> 0,884, </a:t>
          </a:r>
          <a:r>
            <a:rPr lang="da-DK" sz="1100" i="1">
              <a:solidFill>
                <a:schemeClr val="dk1"/>
              </a:solidFill>
              <a:effectLst/>
              <a:latin typeface="+mn-lt"/>
              <a:ea typeface="+mn-ea"/>
              <a:cs typeface="+mn-cs"/>
            </a:rPr>
            <a:t>p</a:t>
          </a:r>
          <a:r>
            <a:rPr lang="da-DK" sz="1100">
              <a:solidFill>
                <a:schemeClr val="dk1"/>
              </a:solidFill>
              <a:effectLst/>
              <a:latin typeface="+mn-lt"/>
              <a:ea typeface="+mn-ea"/>
              <a:cs typeface="+mn-cs"/>
            </a:rPr>
            <a:t> &lt;0,001; log10-transformerede scores: </a:t>
          </a:r>
          <a:r>
            <a:rPr lang="da-DK" sz="1100" i="1">
              <a:solidFill>
                <a:schemeClr val="dk1"/>
              </a:solidFill>
              <a:effectLst/>
              <a:latin typeface="+mn-lt"/>
              <a:ea typeface="+mn-ea"/>
              <a:cs typeface="+mn-cs"/>
            </a:rPr>
            <a:t>Shapiro-Wilk statistic</a:t>
          </a:r>
          <a:r>
            <a:rPr lang="da-DK" sz="1100">
              <a:solidFill>
                <a:schemeClr val="dk1"/>
              </a:solidFill>
              <a:effectLst/>
              <a:latin typeface="+mn-lt"/>
              <a:ea typeface="+mn-ea"/>
              <a:cs typeface="+mn-cs"/>
            </a:rPr>
            <a:t> 0,992, </a:t>
          </a:r>
          <a:r>
            <a:rPr lang="da-DK" sz="1100" i="1">
              <a:solidFill>
                <a:schemeClr val="dk1"/>
              </a:solidFill>
              <a:effectLst/>
              <a:latin typeface="+mn-lt"/>
              <a:ea typeface="+mn-ea"/>
              <a:cs typeface="+mn-cs"/>
            </a:rPr>
            <a:t>p</a:t>
          </a:r>
          <a:r>
            <a:rPr lang="da-DK" sz="1100">
              <a:solidFill>
                <a:schemeClr val="dk1"/>
              </a:solidFill>
              <a:effectLst/>
              <a:latin typeface="+mn-lt"/>
              <a:ea typeface="+mn-ea"/>
              <a:cs typeface="+mn-cs"/>
            </a:rPr>
            <a:t> &lt;0,068).</a:t>
          </a:r>
        </a:p>
        <a:p>
          <a:r>
            <a:rPr lang="da-DK" sz="1100" i="1">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da-DK" sz="1100" i="1">
              <a:solidFill>
                <a:schemeClr val="dk1"/>
              </a:solidFill>
              <a:effectLst/>
              <a:latin typeface="+mn-lt"/>
              <a:ea typeface="+mn-ea"/>
              <a:cs typeface="+mn-cs"/>
            </a:rPr>
            <a:t>Recognition Memory Test</a:t>
          </a:r>
          <a:r>
            <a:rPr lang="da-DK" sz="1100">
              <a:solidFill>
                <a:schemeClr val="dk1"/>
              </a:solidFill>
              <a:effectLst/>
              <a:latin typeface="+mn-lt"/>
              <a:ea typeface="+mn-ea"/>
              <a:cs typeface="+mn-cs"/>
            </a:rPr>
            <a:t> og RCFT-kopi udgør en særlig udfordring. Råscores er udpræget skævt distribueret og desuden fordelt på forholdsvis få værdier. For eksempel ligger omkring 90 % af alle råscores på RCFT-kopi i intervallet 30 til 36, hvilket ikke er optimalt i forhold til beregning af percentiler. For disse tests vedkommende er der konstrueret percentilinterval-tabeller baseret direkte på rådata, som scoringsprogrammet foretager opslag i.</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Scoringsprogrammet fortolker både normalfordelte og log10-transformerede scores vha. Excel-funktionen NORMAL.FORDELING,</a:t>
          </a:r>
          <a:r>
            <a:rPr lang="da-DK" sz="1100" baseline="0">
              <a:solidFill>
                <a:schemeClr val="dk1"/>
              </a:solidFill>
              <a:effectLst/>
              <a:latin typeface="+mn-lt"/>
              <a:ea typeface="+mn-ea"/>
              <a:cs typeface="+mn-cs"/>
            </a:rPr>
            <a:t> der returnerer en percentilværdi for den observerede score på baggrund af den forventede (regressionsbaserede) score samt SD fra det poolede danske normsample.</a:t>
          </a:r>
          <a:r>
            <a:rPr lang="da-DK" sz="1100">
              <a:solidFill>
                <a:schemeClr val="dk1"/>
              </a:solidFill>
              <a:effectLst/>
              <a:latin typeface="+mn-lt"/>
              <a:ea typeface="+mn-ea"/>
              <a:cs typeface="+mn-cs"/>
            </a:rPr>
            <a:t> Funktionen er baseret på tre input samt en logisk værdi (’argumenter’ i Excelsprog) (Tabel 1)</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Alternativt kan en residualværdi - defineret som differencen mellem observeret og forventet score (2) – anvendes som input (x) i funktionen NORMAL.FORDELING i stedet for observeret score (Tabel 2). Når den observerede score er identisk med den forventede score, er residualværdien 0 og middelværdien kan derfor sættes til 0. Hvis den observerede score er højere end den forventede score, bliver residualværdien positiv - og hvis den observerede score er lavere end den forventede score, bliver residualværdien negativ.</a:t>
          </a:r>
        </a:p>
        <a:p>
          <a:r>
            <a:rPr lang="da-DK" sz="1100">
              <a:solidFill>
                <a:schemeClr val="dk1"/>
              </a:solidFill>
              <a:effectLst/>
              <a:latin typeface="+mn-lt"/>
              <a:ea typeface="+mn-ea"/>
              <a:cs typeface="+mn-cs"/>
            </a:rPr>
            <a:t>De to metoder (Tabel</a:t>
          </a:r>
          <a:r>
            <a:rPr lang="da-DK" sz="1100" baseline="0">
              <a:solidFill>
                <a:schemeClr val="dk1"/>
              </a:solidFill>
              <a:effectLst/>
              <a:latin typeface="+mn-lt"/>
              <a:ea typeface="+mn-ea"/>
              <a:cs typeface="+mn-cs"/>
            </a:rPr>
            <a:t> 1 og 2) </a:t>
          </a:r>
          <a:r>
            <a:rPr lang="da-DK" sz="1100">
              <a:solidFill>
                <a:schemeClr val="dk1"/>
              </a:solidFill>
              <a:effectLst/>
              <a:latin typeface="+mn-lt"/>
              <a:ea typeface="+mn-ea"/>
              <a:cs typeface="+mn-cs"/>
            </a:rPr>
            <a:t>giver præcis samme resultat, men en mulig beregningsmæssig fordel ved 'residualmetoden' er, at middelværdien altid er 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Når programmet arbejder med log10-transformerede scores, fodres funktionen NORMAL.FORDELING med de input, der ses i Tabel 3. Beregningen foregår efter 'residualmetoden'.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I praksis er det en udfordring, at SD i både </a:t>
          </a:r>
          <a:r>
            <a:rPr lang="da-DK" sz="1100" i="1">
              <a:solidFill>
                <a:schemeClr val="dk1"/>
              </a:solidFill>
              <a:effectLst/>
              <a:latin typeface="+mn-lt"/>
              <a:ea typeface="+mn-ea"/>
              <a:cs typeface="+mn-cs"/>
            </a:rPr>
            <a:t>Trail Making A</a:t>
          </a:r>
          <a:r>
            <a:rPr lang="da-DK" sz="1100">
              <a:solidFill>
                <a:schemeClr val="dk1"/>
              </a:solidFill>
              <a:effectLst/>
              <a:latin typeface="+mn-lt"/>
              <a:ea typeface="+mn-ea"/>
              <a:cs typeface="+mn-cs"/>
            </a:rPr>
            <a:t> og </a:t>
          </a:r>
          <a:r>
            <a:rPr lang="da-DK" sz="1100" i="1">
              <a:solidFill>
                <a:schemeClr val="dk1"/>
              </a:solidFill>
              <a:effectLst/>
              <a:latin typeface="+mn-lt"/>
              <a:ea typeface="+mn-ea"/>
              <a:cs typeface="+mn-cs"/>
            </a:rPr>
            <a:t>B</a:t>
          </a:r>
          <a:r>
            <a:rPr lang="da-DK" sz="1100">
              <a:solidFill>
                <a:schemeClr val="dk1"/>
              </a:solidFill>
              <a:effectLst/>
              <a:latin typeface="+mn-lt"/>
              <a:ea typeface="+mn-ea"/>
              <a:cs typeface="+mn-cs"/>
            </a:rPr>
            <a:t> samt listeindlæring varierer som en funktion af alder (højere alder, generelt større variation) og at det derfor er problematisk fx at anvende SD fra hele samplet af log10-transformerede råscores som en ’</a:t>
          </a:r>
          <a:r>
            <a:rPr lang="da-DK" sz="1100" i="1">
              <a:solidFill>
                <a:schemeClr val="dk1"/>
              </a:solidFill>
              <a:effectLst/>
              <a:latin typeface="+mn-lt"/>
              <a:ea typeface="+mn-ea"/>
              <a:cs typeface="+mn-cs"/>
            </a:rPr>
            <a:t>one size fits all</a:t>
          </a:r>
          <a:r>
            <a:rPr lang="da-DK" sz="1100">
              <a:solidFill>
                <a:schemeClr val="dk1"/>
              </a:solidFill>
              <a:effectLst/>
              <a:latin typeface="+mn-lt"/>
              <a:ea typeface="+mn-ea"/>
              <a:cs typeface="+mn-cs"/>
            </a:rPr>
            <a:t>’ uafhængigt af alder. I stedet er der udarbejdet estimerede SD’er for residualværdier for log10-transformerede scores for syv forskellige aldersgrupper, som programmet foretager opslag i forud for input i funktionen. Som eksempel vises SD-inputværdierne for </a:t>
          </a:r>
          <a:r>
            <a:rPr lang="da-DK" sz="1100" i="1">
              <a:solidFill>
                <a:schemeClr val="dk1"/>
              </a:solidFill>
              <a:effectLst/>
              <a:latin typeface="+mn-lt"/>
              <a:ea typeface="+mn-ea"/>
              <a:cs typeface="+mn-cs"/>
            </a:rPr>
            <a:t>Trail Making A i </a:t>
          </a:r>
          <a:r>
            <a:rPr lang="da-DK" sz="1100">
              <a:solidFill>
                <a:schemeClr val="dk1"/>
              </a:solidFill>
              <a:effectLst/>
              <a:latin typeface="+mn-lt"/>
              <a:ea typeface="+mn-ea"/>
              <a:cs typeface="+mn-cs"/>
            </a:rPr>
            <a:t>Tabel 4. Til sammenligning er SD fra hele samplet af log10-transformerede råscores 0,18444.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Som nævnt ovenfor indeholder programmet også tabeller baseret på rådata for </a:t>
          </a:r>
          <a:r>
            <a:rPr lang="da-DK" sz="1100" i="1">
              <a:solidFill>
                <a:schemeClr val="dk1"/>
              </a:solidFill>
              <a:effectLst/>
              <a:latin typeface="+mn-lt"/>
              <a:ea typeface="+mn-ea"/>
              <a:cs typeface="+mn-cs"/>
            </a:rPr>
            <a:t>Recognition Memory Test </a:t>
          </a:r>
          <a:r>
            <a:rPr lang="da-DK" sz="1100">
              <a:solidFill>
                <a:schemeClr val="dk1"/>
              </a:solidFill>
              <a:effectLst/>
              <a:latin typeface="+mn-lt"/>
              <a:ea typeface="+mn-ea"/>
              <a:cs typeface="+mn-cs"/>
            </a:rPr>
            <a:t>og RCFT-kopi, der returnerer et percentilinterval svarende til den observerede score. Opslagstabellerne for </a:t>
          </a:r>
          <a:r>
            <a:rPr lang="da-DK" sz="1100" i="1">
              <a:solidFill>
                <a:schemeClr val="dk1"/>
              </a:solidFill>
              <a:effectLst/>
              <a:latin typeface="+mn-lt"/>
              <a:ea typeface="+mn-ea"/>
              <a:cs typeface="+mn-cs"/>
            </a:rPr>
            <a:t>Recognition Memory Test</a:t>
          </a:r>
          <a:r>
            <a:rPr lang="da-DK" sz="1100">
              <a:solidFill>
                <a:schemeClr val="dk1"/>
              </a:solidFill>
              <a:effectLst/>
              <a:latin typeface="+mn-lt"/>
              <a:ea typeface="+mn-ea"/>
              <a:cs typeface="+mn-cs"/>
            </a:rPr>
            <a:t>, 50 ansigter, og RCFT-kopi er yderligere splittet op i to aldersgrupper.</a:t>
          </a:r>
        </a:p>
        <a:p>
          <a:r>
            <a:rPr lang="da-DK" sz="1100">
              <a:solidFill>
                <a:schemeClr val="dk1"/>
              </a:solidFill>
              <a:effectLst/>
              <a:latin typeface="+mn-lt"/>
              <a:ea typeface="+mn-ea"/>
              <a:cs typeface="+mn-cs"/>
            </a:rPr>
            <a:t> </a:t>
          </a:r>
        </a:p>
        <a:p>
          <a:r>
            <a:rPr lang="en-US" sz="1100">
              <a:solidFill>
                <a:schemeClr val="dk1"/>
              </a:solidFill>
              <a:effectLst/>
              <a:latin typeface="+mn-lt"/>
              <a:ea typeface="+mn-ea"/>
              <a:cs typeface="+mn-cs"/>
            </a:rPr>
            <a:t>1.	Jørgensen K. Danske neuropsykologiske normer. København: Dansk Psykologisk Forlag; 2012.</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2.	Chipi E, Fruttini D, Salvadori N, Montanucci C, Siena E, Menculini G, et al. Repeatable Battery for the Assessment of Neuropsychological Status: Italian Normative Data for Older Adults. Arch Clin Neuropsychol. 2023;38(1):72-9.</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endParaRPr lang="da-DK" sz="1100"/>
        </a:p>
      </xdr:txBody>
    </xdr:sp>
    <xdr:clientData/>
  </xdr:twoCellAnchor>
  <xdr:twoCellAnchor editAs="oneCell">
    <xdr:from>
      <xdr:col>21</xdr:col>
      <xdr:colOff>0</xdr:colOff>
      <xdr:row>1</xdr:row>
      <xdr:rowOff>0</xdr:rowOff>
    </xdr:from>
    <xdr:to>
      <xdr:col>22</xdr:col>
      <xdr:colOff>3311084</xdr:colOff>
      <xdr:row>18</xdr:row>
      <xdr:rowOff>19050</xdr:rowOff>
    </xdr:to>
    <xdr:pic>
      <xdr:nvPicPr>
        <xdr:cNvPr id="8" name="Billede 7">
          <a:extLst>
            <a:ext uri="{FF2B5EF4-FFF2-40B4-BE49-F238E27FC236}">
              <a16:creationId xmlns:a16="http://schemas.microsoft.com/office/drawing/2014/main" id="{64A43C2C-9F0F-4CCE-832F-7D645B82F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1600" y="152400"/>
          <a:ext cx="4425509" cy="2609850"/>
        </a:xfrm>
        <a:prstGeom prst="rect">
          <a:avLst/>
        </a:prstGeom>
        <a:noFill/>
        <a:ln>
          <a:solidFill>
            <a:schemeClr val="tx1"/>
          </a:solidFill>
        </a:ln>
      </xdr:spPr>
    </xdr:pic>
    <xdr:clientData/>
  </xdr:twoCellAnchor>
  <xdr:twoCellAnchor editAs="oneCell">
    <xdr:from>
      <xdr:col>21</xdr:col>
      <xdr:colOff>0</xdr:colOff>
      <xdr:row>20</xdr:row>
      <xdr:rowOff>0</xdr:rowOff>
    </xdr:from>
    <xdr:to>
      <xdr:col>22</xdr:col>
      <xdr:colOff>3314700</xdr:colOff>
      <xdr:row>37</xdr:row>
      <xdr:rowOff>14568</xdr:rowOff>
    </xdr:to>
    <xdr:pic>
      <xdr:nvPicPr>
        <xdr:cNvPr id="9" name="Billede 8">
          <a:extLst>
            <a:ext uri="{FF2B5EF4-FFF2-40B4-BE49-F238E27FC236}">
              <a16:creationId xmlns:a16="http://schemas.microsoft.com/office/drawing/2014/main" id="{BE94E974-3E36-41D8-ABBB-AD6FFB253F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01600" y="3048000"/>
          <a:ext cx="4429125" cy="2605368"/>
        </a:xfrm>
        <a:prstGeom prst="rect">
          <a:avLst/>
        </a:prstGeom>
        <a:noFill/>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ring%202%20SD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percentil"/>
      <sheetName val="plan"/>
      <sheetName val="SDMT data"/>
    </sheetNames>
    <sheetDataSet>
      <sheetData sheetId="0" refreshError="1"/>
      <sheetData sheetId="1" refreshError="1"/>
      <sheetData sheetId="2" refreshError="1"/>
      <sheetData sheetId="3">
        <row r="2">
          <cell r="B2">
            <v>20</v>
          </cell>
          <cell r="C2">
            <v>54.483986829521648</v>
          </cell>
          <cell r="D2">
            <v>12.606006366360768</v>
          </cell>
        </row>
        <row r="3">
          <cell r="B3">
            <v>21</v>
          </cell>
          <cell r="C3">
            <v>54.483986829521648</v>
          </cell>
          <cell r="D3">
            <v>12.606006366360768</v>
          </cell>
        </row>
        <row r="4">
          <cell r="B4">
            <v>22</v>
          </cell>
          <cell r="C4">
            <v>54.483986829521648</v>
          </cell>
          <cell r="D4">
            <v>12.606006366360768</v>
          </cell>
        </row>
        <row r="5">
          <cell r="B5">
            <v>23</v>
          </cell>
          <cell r="C5">
            <v>54.483986829521648</v>
          </cell>
          <cell r="D5">
            <v>12.606006366360768</v>
          </cell>
        </row>
        <row r="6">
          <cell r="B6">
            <v>24</v>
          </cell>
          <cell r="C6">
            <v>54.483986829521648</v>
          </cell>
          <cell r="D6">
            <v>12.606006366360768</v>
          </cell>
        </row>
        <row r="7">
          <cell r="B7">
            <v>25</v>
          </cell>
          <cell r="C7">
            <v>54.483986829521648</v>
          </cell>
          <cell r="D7">
            <v>12.606006366360768</v>
          </cell>
        </row>
        <row r="8">
          <cell r="B8">
            <v>26</v>
          </cell>
          <cell r="C8">
            <v>54.483986829521648</v>
          </cell>
          <cell r="D8">
            <v>12.606006366360768</v>
          </cell>
        </row>
        <row r="9">
          <cell r="B9">
            <v>27</v>
          </cell>
          <cell r="C9">
            <v>54.483986829521648</v>
          </cell>
          <cell r="D9">
            <v>12.606006366360768</v>
          </cell>
        </row>
        <row r="10">
          <cell r="B10">
            <v>28</v>
          </cell>
          <cell r="C10">
            <v>54.483986829521648</v>
          </cell>
          <cell r="D10">
            <v>12.606006366360768</v>
          </cell>
        </row>
        <row r="11">
          <cell r="B11">
            <v>29</v>
          </cell>
          <cell r="C11">
            <v>54.483986829521648</v>
          </cell>
          <cell r="D11">
            <v>12.606006366360768</v>
          </cell>
        </row>
        <row r="12">
          <cell r="B12">
            <v>30</v>
          </cell>
          <cell r="C12">
            <v>52.327200404950574</v>
          </cell>
          <cell r="D12">
            <v>12.606006366360768</v>
          </cell>
        </row>
        <row r="13">
          <cell r="B13">
            <v>31</v>
          </cell>
          <cell r="C13">
            <v>52.327200404950574</v>
          </cell>
          <cell r="D13">
            <v>12.606006366360768</v>
          </cell>
        </row>
        <row r="14">
          <cell r="B14">
            <v>32</v>
          </cell>
          <cell r="C14">
            <v>52.327200404950574</v>
          </cell>
          <cell r="D14">
            <v>12.606006366360768</v>
          </cell>
        </row>
        <row r="15">
          <cell r="B15">
            <v>33</v>
          </cell>
          <cell r="C15">
            <v>52.327200404950574</v>
          </cell>
          <cell r="D15">
            <v>12.606006366360768</v>
          </cell>
        </row>
        <row r="16">
          <cell r="B16">
            <v>34</v>
          </cell>
          <cell r="C16">
            <v>52.327200404950574</v>
          </cell>
          <cell r="D16">
            <v>12.606006366360768</v>
          </cell>
        </row>
        <row r="17">
          <cell r="B17">
            <v>35</v>
          </cell>
          <cell r="C17">
            <v>52.327200404950574</v>
          </cell>
          <cell r="D17">
            <v>12.606006366360768</v>
          </cell>
        </row>
        <row r="18">
          <cell r="B18">
            <v>36</v>
          </cell>
          <cell r="C18">
            <v>52.327200404950574</v>
          </cell>
          <cell r="D18">
            <v>12.606006366360768</v>
          </cell>
        </row>
        <row r="19">
          <cell r="B19">
            <v>37</v>
          </cell>
          <cell r="C19">
            <v>52.327200404950574</v>
          </cell>
          <cell r="D19">
            <v>12.606006366360768</v>
          </cell>
        </row>
        <row r="20">
          <cell r="B20">
            <v>38</v>
          </cell>
          <cell r="C20">
            <v>52.327200404950574</v>
          </cell>
          <cell r="D20">
            <v>12.606006366360768</v>
          </cell>
        </row>
        <row r="21">
          <cell r="B21">
            <v>39</v>
          </cell>
          <cell r="C21">
            <v>52.327200404950574</v>
          </cell>
          <cell r="D21">
            <v>12.606006366360768</v>
          </cell>
        </row>
        <row r="22">
          <cell r="B22">
            <v>40</v>
          </cell>
          <cell r="C22">
            <v>49.634250189469569</v>
          </cell>
          <cell r="D22">
            <v>12.606006366360768</v>
          </cell>
        </row>
        <row r="23">
          <cell r="B23">
            <v>41</v>
          </cell>
          <cell r="C23">
            <v>49.634250189469569</v>
          </cell>
          <cell r="D23">
            <v>12.606006366360768</v>
          </cell>
        </row>
        <row r="24">
          <cell r="B24">
            <v>42</v>
          </cell>
          <cell r="C24">
            <v>49.634250189469569</v>
          </cell>
          <cell r="D24">
            <v>12.606006366360768</v>
          </cell>
        </row>
        <row r="25">
          <cell r="B25">
            <v>43</v>
          </cell>
          <cell r="C25">
            <v>49.634250189469569</v>
          </cell>
          <cell r="D25">
            <v>12.606006366360768</v>
          </cell>
        </row>
        <row r="26">
          <cell r="B26">
            <v>44</v>
          </cell>
          <cell r="C26">
            <v>49.634250189469569</v>
          </cell>
          <cell r="D26">
            <v>12.606006366360768</v>
          </cell>
        </row>
        <row r="27">
          <cell r="B27">
            <v>45</v>
          </cell>
          <cell r="C27">
            <v>49.634250189469569</v>
          </cell>
          <cell r="D27">
            <v>12.606006366360768</v>
          </cell>
        </row>
        <row r="28">
          <cell r="B28">
            <v>46</v>
          </cell>
          <cell r="C28">
            <v>49.634250189469569</v>
          </cell>
          <cell r="D28">
            <v>12.606006366360768</v>
          </cell>
        </row>
        <row r="29">
          <cell r="B29">
            <v>47</v>
          </cell>
          <cell r="C29">
            <v>49.634250189469569</v>
          </cell>
          <cell r="D29">
            <v>12.606006366360768</v>
          </cell>
        </row>
        <row r="30">
          <cell r="B30">
            <v>48</v>
          </cell>
          <cell r="C30">
            <v>49.634250189469569</v>
          </cell>
          <cell r="D30">
            <v>12.606006366360768</v>
          </cell>
        </row>
        <row r="31">
          <cell r="B31">
            <v>49</v>
          </cell>
          <cell r="C31">
            <v>49.634250189469569</v>
          </cell>
          <cell r="D31">
            <v>12.606006366360768</v>
          </cell>
        </row>
        <row r="32">
          <cell r="B32">
            <v>50</v>
          </cell>
          <cell r="C32">
            <v>46.405136183078625</v>
          </cell>
          <cell r="D32">
            <v>12.606006366360768</v>
          </cell>
        </row>
        <row r="33">
          <cell r="B33">
            <v>51</v>
          </cell>
          <cell r="C33">
            <v>46.405136183078625</v>
          </cell>
          <cell r="D33">
            <v>12.606006366360768</v>
          </cell>
        </row>
        <row r="34">
          <cell r="B34">
            <v>52</v>
          </cell>
          <cell r="C34">
            <v>46.405136183078625</v>
          </cell>
          <cell r="D34">
            <v>12.606006366360768</v>
          </cell>
        </row>
        <row r="35">
          <cell r="B35">
            <v>53</v>
          </cell>
          <cell r="C35">
            <v>46.405136183078625</v>
          </cell>
          <cell r="D35">
            <v>12.606006366360768</v>
          </cell>
        </row>
        <row r="36">
          <cell r="B36">
            <v>54</v>
          </cell>
          <cell r="C36">
            <v>46.405136183078625</v>
          </cell>
          <cell r="D36">
            <v>12.606006366360768</v>
          </cell>
        </row>
        <row r="37">
          <cell r="B37">
            <v>55</v>
          </cell>
          <cell r="C37">
            <v>46.405136183078625</v>
          </cell>
          <cell r="D37">
            <v>12.606006366360768</v>
          </cell>
        </row>
        <row r="38">
          <cell r="B38">
            <v>56</v>
          </cell>
          <cell r="C38">
            <v>46.405136183078625</v>
          </cell>
          <cell r="D38">
            <v>12.606006366360768</v>
          </cell>
        </row>
        <row r="39">
          <cell r="B39">
            <v>57</v>
          </cell>
          <cell r="C39">
            <v>46.405136183078625</v>
          </cell>
          <cell r="D39">
            <v>12.606006366360768</v>
          </cell>
        </row>
        <row r="40">
          <cell r="B40">
            <v>58</v>
          </cell>
          <cell r="C40">
            <v>46.405136183078625</v>
          </cell>
          <cell r="D40">
            <v>12.606006366360768</v>
          </cell>
        </row>
        <row r="41">
          <cell r="B41">
            <v>59</v>
          </cell>
          <cell r="C41">
            <v>46.405136183078625</v>
          </cell>
          <cell r="D41">
            <v>12.606006366360768</v>
          </cell>
        </row>
        <row r="42">
          <cell r="B42">
            <v>60</v>
          </cell>
          <cell r="C42">
            <v>43.631443190500768</v>
          </cell>
          <cell r="D42">
            <v>12.606006366360768</v>
          </cell>
        </row>
        <row r="43">
          <cell r="B43">
            <v>61</v>
          </cell>
          <cell r="C43">
            <v>43.631443190500768</v>
          </cell>
          <cell r="D43">
            <v>12.606006366360768</v>
          </cell>
        </row>
        <row r="44">
          <cell r="B44">
            <v>62</v>
          </cell>
          <cell r="C44">
            <v>43.631443190500768</v>
          </cell>
          <cell r="D44">
            <v>12.606006366360768</v>
          </cell>
        </row>
        <row r="45">
          <cell r="B45">
            <v>63</v>
          </cell>
          <cell r="C45">
            <v>43.631443190500768</v>
          </cell>
          <cell r="D45">
            <v>12.606006366360768</v>
          </cell>
        </row>
        <row r="46">
          <cell r="B46">
            <v>64</v>
          </cell>
          <cell r="C46">
            <v>43.631443190500768</v>
          </cell>
          <cell r="D46">
            <v>12.606006366360768</v>
          </cell>
        </row>
        <row r="47">
          <cell r="B47">
            <v>65</v>
          </cell>
          <cell r="C47">
            <v>41.614763344122842</v>
          </cell>
          <cell r="D47">
            <v>12.606006366360768</v>
          </cell>
        </row>
        <row r="48">
          <cell r="B48">
            <v>66</v>
          </cell>
          <cell r="C48">
            <v>41.614763344122842</v>
          </cell>
          <cell r="D48">
            <v>12.606006366360768</v>
          </cell>
        </row>
        <row r="49">
          <cell r="B49">
            <v>67</v>
          </cell>
          <cell r="C49">
            <v>41.614763344122842</v>
          </cell>
          <cell r="D49">
            <v>12.606006366360768</v>
          </cell>
        </row>
        <row r="50">
          <cell r="B50">
            <v>68</v>
          </cell>
          <cell r="C50">
            <v>41.614763344122842</v>
          </cell>
          <cell r="D50">
            <v>12.606006366360768</v>
          </cell>
        </row>
        <row r="51">
          <cell r="B51">
            <v>69</v>
          </cell>
          <cell r="C51">
            <v>41.614763344122842</v>
          </cell>
          <cell r="D51">
            <v>12.606006366360768</v>
          </cell>
        </row>
        <row r="52">
          <cell r="B52">
            <v>70</v>
          </cell>
          <cell r="C52">
            <v>39.464042550017432</v>
          </cell>
          <cell r="D52">
            <v>12.606006366360768</v>
          </cell>
        </row>
        <row r="53">
          <cell r="B53">
            <v>71</v>
          </cell>
          <cell r="C53">
            <v>39.464042550017432</v>
          </cell>
          <cell r="D53">
            <v>12.606006366360768</v>
          </cell>
        </row>
        <row r="54">
          <cell r="B54">
            <v>72</v>
          </cell>
          <cell r="C54">
            <v>39.464042550017432</v>
          </cell>
          <cell r="D54">
            <v>12.606006366360768</v>
          </cell>
        </row>
        <row r="55">
          <cell r="B55">
            <v>73</v>
          </cell>
          <cell r="C55">
            <v>39.464042550017432</v>
          </cell>
          <cell r="D55">
            <v>12.606006366360768</v>
          </cell>
        </row>
        <row r="56">
          <cell r="B56">
            <v>74</v>
          </cell>
          <cell r="C56">
            <v>39.464042550017432</v>
          </cell>
          <cell r="D56">
            <v>12.606006366360768</v>
          </cell>
        </row>
        <row r="57">
          <cell r="B57">
            <v>75</v>
          </cell>
          <cell r="C57">
            <v>37.179280808184537</v>
          </cell>
          <cell r="D57">
            <v>12.606006366360768</v>
          </cell>
        </row>
        <row r="58">
          <cell r="B58">
            <v>76</v>
          </cell>
          <cell r="C58">
            <v>37.179280808184537</v>
          </cell>
          <cell r="D58">
            <v>12.606006366360768</v>
          </cell>
        </row>
        <row r="59">
          <cell r="B59">
            <v>77</v>
          </cell>
          <cell r="C59">
            <v>37.179280808184537</v>
          </cell>
          <cell r="D59">
            <v>12.606006366360768</v>
          </cell>
        </row>
        <row r="60">
          <cell r="B60">
            <v>78</v>
          </cell>
          <cell r="C60">
            <v>37.179280808184537</v>
          </cell>
          <cell r="D60">
            <v>12.606006366360768</v>
          </cell>
        </row>
        <row r="61">
          <cell r="B61">
            <v>79</v>
          </cell>
          <cell r="C61">
            <v>37.179280808184537</v>
          </cell>
          <cell r="D61">
            <v>12.606006366360768</v>
          </cell>
        </row>
        <row r="62">
          <cell r="B62">
            <v>80</v>
          </cell>
          <cell r="C62">
            <v>34.760478118624164</v>
          </cell>
          <cell r="D62">
            <v>12.606006366360768</v>
          </cell>
        </row>
        <row r="63">
          <cell r="B63">
            <v>81</v>
          </cell>
          <cell r="C63">
            <v>34.760478118624164</v>
          </cell>
          <cell r="D63">
            <v>12.606006366360768</v>
          </cell>
        </row>
        <row r="64">
          <cell r="B64">
            <v>82</v>
          </cell>
          <cell r="C64">
            <v>34.760478118624164</v>
          </cell>
          <cell r="D64">
            <v>12.606006366360768</v>
          </cell>
        </row>
        <row r="65">
          <cell r="B65">
            <v>83</v>
          </cell>
          <cell r="C65">
            <v>34.760478118624164</v>
          </cell>
          <cell r="D65">
            <v>12.606006366360768</v>
          </cell>
        </row>
        <row r="66">
          <cell r="B66">
            <v>84</v>
          </cell>
          <cell r="C66">
            <v>34.760478118624164</v>
          </cell>
          <cell r="D66">
            <v>12.606006366360768</v>
          </cell>
        </row>
        <row r="67">
          <cell r="B67">
            <v>85</v>
          </cell>
          <cell r="C67">
            <v>32.728926484612067</v>
          </cell>
          <cell r="D67">
            <v>12.606006366360768</v>
          </cell>
        </row>
        <row r="68">
          <cell r="B68">
            <v>86</v>
          </cell>
          <cell r="C68">
            <v>32.728926484612067</v>
          </cell>
          <cell r="D68">
            <v>12.606006366360768</v>
          </cell>
        </row>
        <row r="69">
          <cell r="B69">
            <v>87</v>
          </cell>
          <cell r="C69">
            <v>32.728926484612067</v>
          </cell>
          <cell r="D69">
            <v>12.606006366360768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4" displayName="Tabel4" ref="A14:G32" totalsRowShown="0" headerRowDxfId="9" dataDxfId="8" tableBorderDxfId="7">
  <autoFilter ref="A14:G32" xr:uid="{00000000-0009-0000-0100-000004000000}"/>
  <tableColumns count="7">
    <tableColumn id="1" xr3:uid="{00000000-0010-0000-0000-000001000000}" name="Testnavn" dataDxfId="6"/>
    <tableColumn id="2" xr3:uid="{00000000-0010-0000-0000-000002000000}" name="Indtast score" dataDxfId="5"/>
    <tableColumn id="7" xr3:uid="{5EDA1E19-C910-4A9C-8C5C-530CCEFB6FCA}" name="Forventet score" dataDxfId="4"/>
    <tableColumn id="8" xr3:uid="{ED225721-EAC9-4863-ADF9-F7AA32DC36F0}" name="Ca. percentilværdi af observeret score" dataDxfId="3"/>
    <tableColumn id="3" xr3:uid="{00000000-0010-0000-0000-000003000000}" name="Observeret minus forventet score" dataDxfId="2"/>
    <tableColumn id="4" xr3:uid="{00000000-0010-0000-0000-000004000000}" name="Obs. minus forventet udtrykt i SD" dataDxfId="1">
      <calculatedColumnFormula>IF(B15="","",SDMT!G5)</calculatedColumnFormula>
    </tableColumn>
    <tableColumn id="6" xr3:uid="{80DFCFB8-4D5B-4E1F-B828-A7099D60EDD8}" name="Kolonne1"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showGridLines="0" tabSelected="1" zoomScale="120" zoomScaleNormal="120" workbookViewId="0">
      <selection activeCell="G6" sqref="G6"/>
    </sheetView>
  </sheetViews>
  <sheetFormatPr defaultRowHeight="12.75" x14ac:dyDescent="0.2"/>
  <cols>
    <col min="1" max="1" width="50.28515625" style="255" customWidth="1"/>
    <col min="2" max="5" width="17.7109375" style="255" customWidth="1"/>
    <col min="6" max="6" width="21.140625" style="255" customWidth="1"/>
    <col min="7" max="7" width="27" style="255" customWidth="1"/>
    <col min="8" max="8" width="59.28515625" style="255" customWidth="1"/>
    <col min="9" max="16384" width="9.140625" style="255"/>
  </cols>
  <sheetData>
    <row r="1" spans="1:7" ht="20.25" customHeight="1" x14ac:dyDescent="0.2">
      <c r="B1" s="365" t="s">
        <v>64</v>
      </c>
      <c r="C1" s="365"/>
      <c r="D1" s="365"/>
    </row>
    <row r="2" spans="1:7" x14ac:dyDescent="0.2">
      <c r="B2" s="366" t="s">
        <v>170</v>
      </c>
      <c r="C2" s="366"/>
      <c r="D2" s="366"/>
    </row>
    <row r="3" spans="1:7" x14ac:dyDescent="0.2">
      <c r="E3" s="291" t="s">
        <v>195</v>
      </c>
    </row>
    <row r="4" spans="1:7" ht="19.5" customHeight="1" x14ac:dyDescent="0.2">
      <c r="A4" s="364" t="s">
        <v>65</v>
      </c>
      <c r="B4" s="364"/>
      <c r="D4" s="63"/>
      <c r="E4" s="331" t="s">
        <v>57</v>
      </c>
      <c r="F4" s="332" t="s">
        <v>58</v>
      </c>
    </row>
    <row r="5" spans="1:7" ht="27" customHeight="1" x14ac:dyDescent="0.2">
      <c r="A5" s="292" t="s">
        <v>54</v>
      </c>
      <c r="B5" s="293"/>
      <c r="C5" s="292" t="s">
        <v>55</v>
      </c>
      <c r="D5" s="293"/>
      <c r="E5" s="333">
        <v>1</v>
      </c>
      <c r="F5" s="334" t="s">
        <v>59</v>
      </c>
    </row>
    <row r="6" spans="1:7" x14ac:dyDescent="0.2">
      <c r="B6" s="294"/>
      <c r="C6" s="295" t="s">
        <v>56</v>
      </c>
      <c r="D6" s="294"/>
      <c r="E6" s="333">
        <v>2</v>
      </c>
      <c r="F6" s="334" t="s">
        <v>60</v>
      </c>
    </row>
    <row r="7" spans="1:7" x14ac:dyDescent="0.2">
      <c r="A7" s="296"/>
      <c r="B7" s="297" t="s">
        <v>26</v>
      </c>
      <c r="C7" s="294"/>
      <c r="D7" s="298"/>
      <c r="E7" s="333">
        <v>3</v>
      </c>
      <c r="F7" s="334" t="s">
        <v>61</v>
      </c>
    </row>
    <row r="8" spans="1:7" ht="22.5" x14ac:dyDescent="0.2">
      <c r="A8" s="299" t="s">
        <v>173</v>
      </c>
      <c r="B8" s="277"/>
      <c r="C8" s="300"/>
      <c r="D8" s="354"/>
      <c r="E8" s="333">
        <v>4</v>
      </c>
      <c r="F8" s="334" t="s">
        <v>62</v>
      </c>
    </row>
    <row r="9" spans="1:7" ht="15" customHeight="1" x14ac:dyDescent="0.2">
      <c r="A9" s="301" t="s">
        <v>171</v>
      </c>
      <c r="B9" s="277"/>
      <c r="C9" s="300"/>
      <c r="D9" s="354"/>
      <c r="E9" s="333">
        <v>5</v>
      </c>
      <c r="F9" s="334" t="s">
        <v>63</v>
      </c>
    </row>
    <row r="10" spans="1:7" ht="15" customHeight="1" x14ac:dyDescent="0.2">
      <c r="A10" s="301" t="s">
        <v>204</v>
      </c>
      <c r="B10" s="280"/>
      <c r="C10" s="300"/>
      <c r="D10" s="305" t="s">
        <v>66</v>
      </c>
      <c r="E10" s="302"/>
    </row>
    <row r="11" spans="1:7" ht="15" customHeight="1" x14ac:dyDescent="0.2">
      <c r="A11" s="294" t="s">
        <v>172</v>
      </c>
      <c r="B11" s="303">
        <f>SUM(B9:B10)</f>
        <v>0</v>
      </c>
      <c r="C11" s="304"/>
    </row>
    <row r="12" spans="1:7" ht="15" customHeight="1" x14ac:dyDescent="0.2">
      <c r="A12" s="294"/>
      <c r="B12" s="326"/>
      <c r="C12" s="304"/>
    </row>
    <row r="13" spans="1:7" ht="31.5" customHeight="1" x14ac:dyDescent="0.2">
      <c r="A13" s="299"/>
      <c r="B13" s="330" t="s">
        <v>139</v>
      </c>
      <c r="C13" s="330" t="s">
        <v>124</v>
      </c>
      <c r="D13" s="330" t="s">
        <v>128</v>
      </c>
      <c r="E13" s="330" t="s">
        <v>125</v>
      </c>
      <c r="F13" s="355" t="s">
        <v>197</v>
      </c>
      <c r="G13" s="358" t="s">
        <v>206</v>
      </c>
    </row>
    <row r="14" spans="1:7" ht="0.2" customHeight="1" x14ac:dyDescent="0.2">
      <c r="A14" s="45" t="s">
        <v>31</v>
      </c>
      <c r="B14" s="327" t="s">
        <v>139</v>
      </c>
      <c r="C14" s="46" t="s">
        <v>124</v>
      </c>
      <c r="D14" s="328" t="s">
        <v>128</v>
      </c>
      <c r="E14" s="329" t="s">
        <v>125</v>
      </c>
      <c r="F14" s="46" t="s">
        <v>140</v>
      </c>
      <c r="G14" s="360" t="s">
        <v>205</v>
      </c>
    </row>
    <row r="15" spans="1:7" ht="15" customHeight="1" x14ac:dyDescent="0.2">
      <c r="A15" s="306" t="s">
        <v>33</v>
      </c>
      <c r="B15" s="272"/>
      <c r="C15" s="22" t="str">
        <f>IF(B8="","",IF(B11="","",IF(B15="","",SDMT!C14)))</f>
        <v/>
      </c>
      <c r="D15" s="266" t="str">
        <f>IF(B15="","",SDMT!D5)</f>
        <v/>
      </c>
      <c r="E15" s="283" t="str">
        <f>IF(B15="","",B15-C15)</f>
        <v/>
      </c>
      <c r="F15" s="159" t="str">
        <f>IF(B15="","",SDMT!G5)</f>
        <v/>
      </c>
      <c r="G15" s="359" t="s">
        <v>207</v>
      </c>
    </row>
    <row r="16" spans="1:7" ht="15" customHeight="1" x14ac:dyDescent="0.2">
      <c r="A16" s="315" t="s">
        <v>198</v>
      </c>
      <c r="B16" s="273"/>
      <c r="C16" s="42" t="str">
        <f>IF(B10="","",IF(B8="","",IF(B16="","",'TMT A'!C14)))</f>
        <v/>
      </c>
      <c r="D16" s="267" t="str">
        <f>IF(B16="","",'TMT A'!H16)</f>
        <v/>
      </c>
      <c r="E16" s="282" t="str">
        <f>IF(B16="","",B16-C16)</f>
        <v/>
      </c>
      <c r="F16" s="21" t="str">
        <f>IF(B16="","",'TMT A'!C19)</f>
        <v/>
      </c>
      <c r="G16" s="359" t="s">
        <v>208</v>
      </c>
    </row>
    <row r="17" spans="1:7" ht="15" customHeight="1" x14ac:dyDescent="0.2">
      <c r="A17" s="313" t="s">
        <v>199</v>
      </c>
      <c r="B17" s="274"/>
      <c r="C17" s="41" t="str">
        <f>IF(B10="","",IF(B8="","",IF(B17="","",'TMT B'!C14)))</f>
        <v/>
      </c>
      <c r="D17" s="266" t="str">
        <f>IF(B17="","",'TMT B'!H21)</f>
        <v/>
      </c>
      <c r="E17" s="283" t="str">
        <f>IF(B17="","",B17-C17)</f>
        <v/>
      </c>
      <c r="F17" s="21" t="str">
        <f>IF(B17="","",'TMT B'!C19)</f>
        <v/>
      </c>
      <c r="G17" s="359" t="s">
        <v>209</v>
      </c>
    </row>
    <row r="18" spans="1:7" ht="15" customHeight="1" x14ac:dyDescent="0.2">
      <c r="A18" s="307"/>
      <c r="B18" s="275"/>
      <c r="C18" s="20"/>
      <c r="D18" s="268"/>
      <c r="E18" s="286"/>
      <c r="F18" s="48" t="str">
        <f>IF(B18="","",SDMT!G8)</f>
        <v/>
      </c>
      <c r="G18" s="359"/>
    </row>
    <row r="19" spans="1:7" ht="15" customHeight="1" x14ac:dyDescent="0.2">
      <c r="A19" s="308" t="s">
        <v>30</v>
      </c>
      <c r="B19" s="276"/>
      <c r="C19" s="48" t="str">
        <f>IF(B10="","",IF(B8="","",IF(B19="","",MROUND('RCFT ug'!C14,0.5))))</f>
        <v/>
      </c>
      <c r="D19" s="269" t="str">
        <f>IF(B19="","",'RCFT ug'!D5)</f>
        <v/>
      </c>
      <c r="E19" s="287" t="str">
        <f>IF(B19="","",B19-C19)</f>
        <v/>
      </c>
      <c r="F19" s="48" t="str">
        <f>IF(B19="","",'RCFT ug'!H5)</f>
        <v/>
      </c>
      <c r="G19" s="359" t="s">
        <v>210</v>
      </c>
    </row>
    <row r="20" spans="1:7" ht="15" customHeight="1" x14ac:dyDescent="0.2">
      <c r="A20" s="309" t="s">
        <v>174</v>
      </c>
      <c r="B20" s="273"/>
      <c r="C20" s="42" t="str">
        <f>IF(B10="","",IF(B8="","",IF(B20="","",'list K'!C14)))</f>
        <v/>
      </c>
      <c r="D20" s="270" t="str">
        <f>IF(B20="","",'list K'!H21)</f>
        <v/>
      </c>
      <c r="E20" s="282" t="str">
        <f t="shared" ref="E20:E29" si="0">IF(B20="","",B20-C20)</f>
        <v/>
      </c>
      <c r="F20" s="356" t="str">
        <f>IF(B20="","",'list K'!C19)</f>
        <v/>
      </c>
      <c r="G20" s="359" t="s">
        <v>212</v>
      </c>
    </row>
    <row r="21" spans="1:7" ht="15" customHeight="1" x14ac:dyDescent="0.2">
      <c r="A21" s="310" t="s">
        <v>175</v>
      </c>
      <c r="B21" s="288"/>
      <c r="C21" s="20" t="str">
        <f>IF(B10="","",IF(B8="","",IF(B21="","",'list M'!C13)))</f>
        <v/>
      </c>
      <c r="D21" s="268" t="str">
        <f>IF(B21="","",'list M'!H21)</f>
        <v/>
      </c>
      <c r="E21" s="283" t="str">
        <f t="shared" si="0"/>
        <v/>
      </c>
      <c r="F21" s="357" t="str">
        <f>IF(B21="","",'list M'!C19)</f>
        <v/>
      </c>
      <c r="G21" s="359" t="s">
        <v>213</v>
      </c>
    </row>
    <row r="22" spans="1:7" ht="15" customHeight="1" x14ac:dyDescent="0.2">
      <c r="A22" s="311" t="s">
        <v>200</v>
      </c>
      <c r="B22" s="277"/>
      <c r="C22" s="43" t="str">
        <f>IF(B10="","",IF(B8="","",IF(B22="","",'CCR ug'!C14)))</f>
        <v/>
      </c>
      <c r="D22" s="271" t="str">
        <f>IF(B22="","",'CCR ug'!D5)</f>
        <v/>
      </c>
      <c r="E22" s="282" t="str">
        <f t="shared" si="0"/>
        <v/>
      </c>
      <c r="F22" s="21" t="str">
        <f>IF(B22="","",'CCR ug'!H5)</f>
        <v/>
      </c>
      <c r="G22" s="359" t="s">
        <v>214</v>
      </c>
    </row>
    <row r="23" spans="1:7" ht="15" customHeight="1" x14ac:dyDescent="0.2">
      <c r="A23" s="312" t="s">
        <v>201</v>
      </c>
      <c r="B23" s="278"/>
      <c r="C23" s="44" t="str">
        <f>IF(B10="","",IF(B8="","",IF(B23="","",'CCR fg'!C14)))</f>
        <v/>
      </c>
      <c r="D23" s="266" t="str">
        <f>IF(B23="","",'CCR fg'!D5)</f>
        <v/>
      </c>
      <c r="E23" s="283" t="str">
        <f t="shared" si="0"/>
        <v/>
      </c>
      <c r="F23" s="159" t="str">
        <f>IF(B23="","",'CCR fg'!H5)</f>
        <v/>
      </c>
      <c r="G23" s="359" t="s">
        <v>214</v>
      </c>
    </row>
    <row r="24" spans="1:7" ht="15" customHeight="1" x14ac:dyDescent="0.2">
      <c r="A24" s="306" t="s">
        <v>35</v>
      </c>
      <c r="B24" s="285"/>
      <c r="C24" s="22" t="str">
        <f>IF(B10="","",IF(B8="","",IF(B24="","",'RMT ord'!C14)))</f>
        <v/>
      </c>
      <c r="D24" s="267" t="str">
        <f>IF(B24="","",'RMT ord'!H22)</f>
        <v/>
      </c>
      <c r="E24" s="282" t="str">
        <f t="shared" si="0"/>
        <v/>
      </c>
      <c r="F24" s="265" t="str">
        <f>IF(B24="","",'RMT ord'!C28)</f>
        <v/>
      </c>
      <c r="G24" s="359" t="s">
        <v>215</v>
      </c>
    </row>
    <row r="25" spans="1:7" ht="15" customHeight="1" x14ac:dyDescent="0.2">
      <c r="A25" s="313" t="s">
        <v>36</v>
      </c>
      <c r="B25" s="278"/>
      <c r="C25" s="44" t="str">
        <f>IF(B10="","",IF(B8="","",IF(B25="","",'RMT ans'!C14)))</f>
        <v/>
      </c>
      <c r="D25" s="266" t="str">
        <f>IF(B25="","",'RMT ans'!I31)</f>
        <v/>
      </c>
      <c r="E25" s="283" t="str">
        <f t="shared" si="0"/>
        <v/>
      </c>
      <c r="F25" s="265" t="str">
        <f>IF(B25="","",'RMT ans'!C28)</f>
        <v/>
      </c>
      <c r="G25" s="359" t="s">
        <v>215</v>
      </c>
    </row>
    <row r="26" spans="1:7" ht="15" customHeight="1" x14ac:dyDescent="0.2">
      <c r="A26" s="306"/>
      <c r="B26" s="279"/>
      <c r="C26" s="22"/>
      <c r="D26" s="267"/>
      <c r="E26" s="284"/>
      <c r="F26" s="48" t="str">
        <f>IF(B26="","",SDMT!G16)</f>
        <v/>
      </c>
      <c r="G26" s="359"/>
    </row>
    <row r="27" spans="1:7" ht="15" customHeight="1" x14ac:dyDescent="0.2">
      <c r="A27" s="311" t="s">
        <v>21</v>
      </c>
      <c r="B27" s="277"/>
      <c r="C27" s="43" t="str">
        <f>IF(B10="","",IF(B8="","",IF(B27="","",dyr!C14)))</f>
        <v/>
      </c>
      <c r="D27" s="271" t="str">
        <f>IF(B27="","",dyr!D5)</f>
        <v/>
      </c>
      <c r="E27" s="284" t="str">
        <f t="shared" si="0"/>
        <v/>
      </c>
      <c r="F27" s="21" t="str">
        <f>IF(B27="","",dyr!H5)</f>
        <v/>
      </c>
      <c r="G27" s="359" t="s">
        <v>216</v>
      </c>
    </row>
    <row r="28" spans="1:7" ht="15" customHeight="1" x14ac:dyDescent="0.2">
      <c r="A28" s="312" t="s">
        <v>22</v>
      </c>
      <c r="B28" s="278"/>
      <c r="C28" s="44" t="str">
        <f>IF(B10="","",IF(B8="","",IF(B28="","",'S-ord'!C14)))</f>
        <v/>
      </c>
      <c r="D28" s="266" t="str">
        <f>IF(B28="","",'S-ord'!D5)</f>
        <v/>
      </c>
      <c r="E28" s="283" t="str">
        <f t="shared" si="0"/>
        <v/>
      </c>
      <c r="F28" s="159" t="str">
        <f>IF(B28="","",'S-ord'!H5)</f>
        <v/>
      </c>
      <c r="G28" s="359" t="s">
        <v>217</v>
      </c>
    </row>
    <row r="29" spans="1:7" ht="15" customHeight="1" x14ac:dyDescent="0.2">
      <c r="A29" s="313" t="s">
        <v>202</v>
      </c>
      <c r="B29" s="278"/>
      <c r="C29" s="44" t="str">
        <f>IF(B10="","",IF(B8="","",IF(B29="","",'5-pkt'!C14)))</f>
        <v/>
      </c>
      <c r="D29" s="266" t="str">
        <f>IF(B29="","",'5-pkt'!D5)</f>
        <v/>
      </c>
      <c r="E29" s="283" t="str">
        <f t="shared" si="0"/>
        <v/>
      </c>
      <c r="F29" s="48" t="str">
        <f>IF(B29="","",'5-pkt'!H5)</f>
        <v/>
      </c>
      <c r="G29" s="359" t="s">
        <v>218</v>
      </c>
    </row>
    <row r="30" spans="1:7" ht="15" customHeight="1" x14ac:dyDescent="0.2">
      <c r="A30" s="306"/>
      <c r="B30" s="279"/>
      <c r="C30" s="22"/>
      <c r="D30" s="267"/>
      <c r="E30" s="286"/>
      <c r="F30" s="48" t="str">
        <f>IF(B30="","",SDMT!G20)</f>
        <v/>
      </c>
      <c r="G30" s="359"/>
    </row>
    <row r="31" spans="1:7" ht="15" customHeight="1" x14ac:dyDescent="0.2">
      <c r="A31" s="314" t="s">
        <v>34</v>
      </c>
      <c r="B31" s="281"/>
      <c r="C31" s="47" t="str">
        <f>IF(B10="","",IF(B8="","",IF(B31="","",MROUND('RCFT kopi'!C14,0.5))))</f>
        <v/>
      </c>
      <c r="D31" s="270" t="str">
        <f>IF(B31="","",'RCFT kopi'!I24)</f>
        <v/>
      </c>
      <c r="E31" s="287" t="str">
        <f>IF(B31="","",B31-C31)</f>
        <v/>
      </c>
      <c r="F31" s="48" t="str">
        <f>IF(B31="","",'RCFT kopi'!C19)</f>
        <v/>
      </c>
      <c r="G31" s="359" t="s">
        <v>211</v>
      </c>
    </row>
    <row r="32" spans="1:7" ht="15" customHeight="1" x14ac:dyDescent="0.2">
      <c r="A32" s="315" t="s">
        <v>203</v>
      </c>
      <c r="B32" s="280"/>
      <c r="C32" s="43" t="str">
        <f>IF(B10="","",IF(B8="","",IF(B32="","",street!C14)))</f>
        <v/>
      </c>
      <c r="D32" s="269" t="str">
        <f>IF(B32="","",street!D5)</f>
        <v/>
      </c>
      <c r="E32" s="283" t="str">
        <f t="shared" ref="E32" si="1">IF(B32="","",B32-C32)</f>
        <v/>
      </c>
      <c r="F32" s="21" t="str">
        <f>IF(B32="","",street!G5)</f>
        <v/>
      </c>
      <c r="G32" s="359" t="s">
        <v>219</v>
      </c>
    </row>
    <row r="34" spans="1:1" x14ac:dyDescent="0.2">
      <c r="A34" s="71"/>
    </row>
    <row r="35" spans="1:1" x14ac:dyDescent="0.2">
      <c r="A35" s="71"/>
    </row>
    <row r="36" spans="1:1" x14ac:dyDescent="0.2">
      <c r="A36" s="63"/>
    </row>
    <row r="37" spans="1:1" x14ac:dyDescent="0.2">
      <c r="A37" s="63"/>
    </row>
    <row r="38" spans="1:1" x14ac:dyDescent="0.2">
      <c r="A38" s="71"/>
    </row>
    <row r="39" spans="1:1" x14ac:dyDescent="0.2">
      <c r="A39" s="63"/>
    </row>
    <row r="40" spans="1:1" x14ac:dyDescent="0.2">
      <c r="A40" s="63"/>
    </row>
    <row r="41" spans="1:1" x14ac:dyDescent="0.2">
      <c r="A41" s="63"/>
    </row>
    <row r="42" spans="1:1" x14ac:dyDescent="0.2">
      <c r="A42" s="63"/>
    </row>
    <row r="43" spans="1:1" x14ac:dyDescent="0.2">
      <c r="A43" s="71"/>
    </row>
    <row r="44" spans="1:1" x14ac:dyDescent="0.2">
      <c r="A44" s="63"/>
    </row>
    <row r="45" spans="1:1" x14ac:dyDescent="0.2">
      <c r="A45" s="63"/>
    </row>
    <row r="46" spans="1:1" x14ac:dyDescent="0.2">
      <c r="A46" s="63"/>
    </row>
    <row r="47" spans="1:1" x14ac:dyDescent="0.2">
      <c r="A47" s="63"/>
    </row>
    <row r="48" spans="1:1" x14ac:dyDescent="0.2">
      <c r="A48" s="63"/>
    </row>
    <row r="49" spans="1:8" x14ac:dyDescent="0.2">
      <c r="A49" s="71"/>
    </row>
    <row r="50" spans="1:8" x14ac:dyDescent="0.2">
      <c r="A50" s="63"/>
    </row>
    <row r="51" spans="1:8" x14ac:dyDescent="0.2">
      <c r="A51" s="63"/>
    </row>
    <row r="52" spans="1:8" x14ac:dyDescent="0.2">
      <c r="A52" s="63"/>
    </row>
    <row r="53" spans="1:8" x14ac:dyDescent="0.2">
      <c r="A53" s="63"/>
    </row>
    <row r="54" spans="1:8" x14ac:dyDescent="0.2">
      <c r="A54" s="63"/>
    </row>
    <row r="55" spans="1:8" x14ac:dyDescent="0.2">
      <c r="A55" s="71"/>
    </row>
    <row r="56" spans="1:8" x14ac:dyDescent="0.2">
      <c r="A56" s="63"/>
      <c r="B56" s="63"/>
      <c r="C56" s="63"/>
      <c r="D56" s="63"/>
      <c r="E56" s="63"/>
      <c r="F56" s="63"/>
      <c r="G56" s="63"/>
      <c r="H56" s="63"/>
    </row>
    <row r="57" spans="1:8" x14ac:dyDescent="0.2">
      <c r="A57" s="63"/>
      <c r="B57" s="63"/>
      <c r="C57" s="63"/>
      <c r="D57" s="63"/>
      <c r="E57" s="63"/>
      <c r="F57" s="63"/>
      <c r="G57" s="63"/>
      <c r="H57" s="63"/>
    </row>
    <row r="58" spans="1:8" x14ac:dyDescent="0.2">
      <c r="A58" s="63"/>
      <c r="B58" s="63"/>
      <c r="C58" s="63"/>
      <c r="D58" s="63"/>
      <c r="E58" s="63"/>
      <c r="F58" s="63"/>
      <c r="G58" s="63"/>
      <c r="H58" s="63"/>
    </row>
    <row r="59" spans="1:8" x14ac:dyDescent="0.2">
      <c r="A59" s="63"/>
      <c r="B59" s="63"/>
      <c r="C59" s="63"/>
      <c r="D59" s="63"/>
      <c r="E59" s="63"/>
      <c r="F59" s="63"/>
      <c r="G59" s="63"/>
      <c r="H59" s="63"/>
    </row>
    <row r="60" spans="1:8" x14ac:dyDescent="0.2">
      <c r="A60" s="63"/>
      <c r="B60" s="63"/>
      <c r="C60" s="63"/>
      <c r="D60" s="63"/>
      <c r="E60" s="63"/>
      <c r="F60" s="63"/>
      <c r="G60" s="63"/>
      <c r="H60" s="63"/>
    </row>
    <row r="61" spans="1:8" x14ac:dyDescent="0.2">
      <c r="A61" s="63"/>
      <c r="B61" s="63"/>
      <c r="C61" s="63"/>
      <c r="D61" s="63"/>
      <c r="E61" s="63"/>
      <c r="F61" s="63"/>
      <c r="G61" s="63"/>
      <c r="H61" s="63"/>
    </row>
    <row r="62" spans="1:8" x14ac:dyDescent="0.2">
      <c r="A62" s="63"/>
      <c r="B62" s="63"/>
      <c r="C62" s="63"/>
      <c r="D62" s="63"/>
      <c r="E62" s="63"/>
      <c r="F62" s="63"/>
      <c r="G62" s="63"/>
      <c r="H62" s="63"/>
    </row>
    <row r="63" spans="1:8" x14ac:dyDescent="0.2">
      <c r="A63" s="63"/>
      <c r="B63" s="63"/>
      <c r="C63" s="63"/>
      <c r="D63" s="63"/>
      <c r="E63" s="63"/>
      <c r="F63" s="63"/>
      <c r="G63" s="63"/>
      <c r="H63" s="63"/>
    </row>
    <row r="64" spans="1:8" x14ac:dyDescent="0.2">
      <c r="A64" s="63"/>
      <c r="B64" s="63"/>
      <c r="C64" s="63"/>
      <c r="D64" s="63"/>
      <c r="E64" s="63"/>
      <c r="F64" s="63"/>
      <c r="G64" s="63"/>
      <c r="H64" s="63"/>
    </row>
    <row r="65" spans="1:8" s="291" customFormat="1" x14ac:dyDescent="0.2">
      <c r="A65" s="71"/>
      <c r="B65" s="71"/>
      <c r="C65" s="71"/>
      <c r="D65" s="71"/>
      <c r="E65" s="71"/>
      <c r="F65" s="71"/>
      <c r="G65" s="71"/>
      <c r="H65" s="71"/>
    </row>
    <row r="66" spans="1:8" x14ac:dyDescent="0.2">
      <c r="A66" s="63"/>
      <c r="B66" s="63"/>
      <c r="C66" s="63"/>
      <c r="D66" s="63"/>
      <c r="E66" s="63"/>
      <c r="F66" s="63"/>
      <c r="G66" s="63"/>
      <c r="H66" s="63"/>
    </row>
    <row r="67" spans="1:8" x14ac:dyDescent="0.2">
      <c r="A67" s="63"/>
      <c r="B67" s="63"/>
      <c r="C67" s="63"/>
      <c r="D67" s="63"/>
      <c r="E67" s="63"/>
      <c r="F67" s="63"/>
      <c r="G67" s="63"/>
      <c r="H67" s="63"/>
    </row>
    <row r="68" spans="1:8" x14ac:dyDescent="0.2">
      <c r="A68" s="63"/>
      <c r="B68" s="63"/>
      <c r="C68" s="63"/>
      <c r="D68" s="63"/>
      <c r="E68" s="63"/>
      <c r="F68" s="63"/>
      <c r="G68" s="63"/>
      <c r="H68" s="63"/>
    </row>
    <row r="69" spans="1:8" x14ac:dyDescent="0.2">
      <c r="A69" s="63"/>
      <c r="B69" s="63"/>
      <c r="C69" s="63"/>
      <c r="D69" s="63"/>
      <c r="E69" s="63"/>
      <c r="F69" s="63"/>
      <c r="G69" s="63"/>
      <c r="H69" s="63"/>
    </row>
    <row r="70" spans="1:8" x14ac:dyDescent="0.2">
      <c r="A70" s="63"/>
      <c r="B70" s="63"/>
      <c r="C70" s="63"/>
      <c r="D70" s="63"/>
      <c r="E70" s="63"/>
      <c r="F70" s="63"/>
      <c r="G70" s="63"/>
      <c r="H70" s="63"/>
    </row>
    <row r="71" spans="1:8" x14ac:dyDescent="0.2">
      <c r="A71" s="63"/>
      <c r="B71" s="63"/>
      <c r="C71" s="63"/>
      <c r="D71" s="63"/>
      <c r="E71" s="63"/>
      <c r="F71" s="63"/>
      <c r="G71" s="63"/>
      <c r="H71" s="63"/>
    </row>
    <row r="72" spans="1:8" x14ac:dyDescent="0.2">
      <c r="A72" s="63"/>
      <c r="B72" s="63"/>
      <c r="C72" s="63"/>
      <c r="D72" s="63"/>
      <c r="E72" s="63"/>
      <c r="F72" s="63"/>
      <c r="G72" s="63"/>
      <c r="H72" s="63"/>
    </row>
    <row r="73" spans="1:8" x14ac:dyDescent="0.2">
      <c r="A73" s="63"/>
      <c r="B73" s="63"/>
      <c r="C73" s="63"/>
      <c r="D73" s="63"/>
      <c r="E73" s="63"/>
      <c r="F73" s="63"/>
      <c r="G73" s="63"/>
      <c r="H73" s="63"/>
    </row>
    <row r="74" spans="1:8" x14ac:dyDescent="0.2">
      <c r="A74" s="63"/>
      <c r="B74" s="63"/>
      <c r="C74" s="63"/>
      <c r="D74" s="63"/>
      <c r="E74" s="63"/>
      <c r="F74" s="63"/>
      <c r="G74" s="63"/>
      <c r="H74" s="63"/>
    </row>
    <row r="75" spans="1:8" x14ac:dyDescent="0.2">
      <c r="A75" s="63"/>
      <c r="B75" s="63"/>
      <c r="C75" s="63"/>
      <c r="D75" s="63"/>
      <c r="E75" s="63"/>
      <c r="F75" s="63"/>
      <c r="G75" s="63"/>
      <c r="H75" s="63"/>
    </row>
    <row r="76" spans="1:8" x14ac:dyDescent="0.2">
      <c r="A76" s="63"/>
      <c r="B76" s="63"/>
      <c r="C76" s="63"/>
      <c r="D76" s="63"/>
      <c r="E76" s="63"/>
      <c r="F76" s="63"/>
      <c r="G76" s="63"/>
      <c r="H76" s="63"/>
    </row>
    <row r="77" spans="1:8" x14ac:dyDescent="0.2">
      <c r="A77" s="63"/>
    </row>
    <row r="79" spans="1:8" x14ac:dyDescent="0.2">
      <c r="A79" s="294"/>
    </row>
    <row r="81" spans="1:1" x14ac:dyDescent="0.2">
      <c r="A81" s="294"/>
    </row>
  </sheetData>
  <sheetProtection algorithmName="SHA-512" hashValue="Y1QvMdJ3MrObFv0uiOM7LQ0bDW6jlw+pn6b1N/BVGefFvHd3Uu5saDMiimVP94MK64Pgu7pHyRrICqyzfZ+4fA==" saltValue="zVaxjEZsO9FsLB3b6OsrHA==" spinCount="100000" sheet="1" objects="1" scenarios="1"/>
  <mergeCells count="3">
    <mergeCell ref="A4:B4"/>
    <mergeCell ref="B1:D1"/>
    <mergeCell ref="B2:D2"/>
  </mergeCells>
  <dataValidations count="9">
    <dataValidation type="decimal" errorStyle="warning" allowBlank="1" showInputMessage="1" showErrorMessage="1" error="Testscores for personer &lt;20 år eller &gt;87 år kan ikke vurderes pålideligt" sqref="B8 C8:C9" xr:uid="{00000000-0002-0000-0000-000000000000}">
      <formula1>20</formula1>
      <formula2>87</formula2>
    </dataValidation>
    <dataValidation type="decimal" errorStyle="warning" allowBlank="1" showInputMessage="1" showErrorMessage="1" error="Testscores for personer med uddannelse &lt;8 eller &gt;17 kan ikke vurderes pålideligt" sqref="C10:D10" xr:uid="{00000000-0002-0000-0000-000001000000}">
      <formula1>8</formula1>
      <formula2>17</formula2>
    </dataValidation>
    <dataValidation type="decimal" operator="lessThanOrEqual" allowBlank="1" showInputMessage="1" showErrorMessage="1" error="Maksimal score er 36,0" sqref="B19 B31" xr:uid="{05507AAC-CC93-468D-9A47-27015349A78D}">
      <formula1>36</formula1>
    </dataValidation>
    <dataValidation type="whole" operator="lessThanOrEqual" allowBlank="1" showInputMessage="1" showErrorMessage="1" error="Maksimal score er 64" sqref="B22:B23" xr:uid="{AFF2E15D-321D-4002-9E3C-C8799422048B}">
      <formula1>64</formula1>
    </dataValidation>
    <dataValidation type="whole" operator="lessThanOrEqual" allowBlank="1" showInputMessage="1" showErrorMessage="1" error="maksimal score er 20" sqref="B32" xr:uid="{7E14E7D4-70C4-4740-B27A-DFACD8642544}">
      <formula1>20</formula1>
    </dataValidation>
    <dataValidation type="decimal" errorStyle="warning" allowBlank="1" showInputMessage="1" showErrorMessage="1" error="Indtast værdi mellem 7 og 12" sqref="B9" xr:uid="{2F8E2E2D-EDFE-4104-B305-2A4CAF7F346D}">
      <formula1>7</formula1>
      <formula2>12</formula2>
    </dataValidation>
    <dataValidation type="decimal" errorStyle="warning" allowBlank="1" showInputMessage="1" showErrorMessage="1" error="Indtast værdi mellem 1 og 5" sqref="B10" xr:uid="{398C6408-F17F-4EBD-BE5E-117D7BF8AC7C}">
      <formula1>1</formula1>
      <formula2>5</formula2>
    </dataValidation>
    <dataValidation type="whole" operator="lessThanOrEqual" allowBlank="1" showInputMessage="1" showErrorMessage="1" error="Maksimal score er 50" sqref="B24" xr:uid="{2A77C0BF-A23E-40B2-A48E-F8F4E80A3C12}">
      <formula1>50</formula1>
    </dataValidation>
    <dataValidation type="whole" operator="lessThanOrEqual" allowBlank="1" showInputMessage="1" showErrorMessage="1" error="maksimal score er 50" sqref="B25" xr:uid="{D3631518-81DE-4656-8316-9F38C145EAA1}">
      <formula1>50</formula1>
    </dataValidation>
  </dataValidations>
  <pageMargins left="0.70866141732283472" right="0.70866141732283472" top="0.74803149606299213" bottom="0.74803149606299213" header="0.31496062992125984" footer="0.31496062992125984"/>
  <pageSetup paperSize="9" orientation="landscape" r:id="rId1"/>
  <ignoredErrors>
    <ignoredError sqref="F31:F32 F27:F29 F21:F25 F19:F20 F16:F17" calculatedColumn="1"/>
    <ignoredError sqref="B11" formulaRang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4CF5-928D-4972-81BF-9B3CD605704D}">
  <dimension ref="V19:W67"/>
  <sheetViews>
    <sheetView showGridLines="0" workbookViewId="0">
      <selection activeCell="U16" sqref="U16"/>
    </sheetView>
  </sheetViews>
  <sheetFormatPr defaultRowHeight="12" x14ac:dyDescent="0.2"/>
  <cols>
    <col min="1" max="21" width="9.140625" style="63"/>
    <col min="22" max="22" width="16.7109375" style="63" customWidth="1"/>
    <col min="23" max="23" width="89.7109375" style="63" customWidth="1"/>
    <col min="24" max="16384" width="9.140625" style="63"/>
  </cols>
  <sheetData>
    <row r="19" spans="22:22" x14ac:dyDescent="0.2">
      <c r="V19" s="63" t="s">
        <v>238</v>
      </c>
    </row>
    <row r="38" spans="22:23" x14ac:dyDescent="0.2">
      <c r="V38" s="63" t="s">
        <v>239</v>
      </c>
    </row>
    <row r="41" spans="22:23" x14ac:dyDescent="0.2">
      <c r="V41" s="71" t="s">
        <v>226</v>
      </c>
      <c r="W41" s="71" t="s">
        <v>235</v>
      </c>
    </row>
    <row r="42" spans="22:23" x14ac:dyDescent="0.2">
      <c r="V42" s="260" t="s">
        <v>220</v>
      </c>
      <c r="W42" s="361" t="s">
        <v>17</v>
      </c>
    </row>
    <row r="43" spans="22:23" x14ac:dyDescent="0.2">
      <c r="V43" s="260" t="s">
        <v>221</v>
      </c>
      <c r="W43" s="361" t="s">
        <v>222</v>
      </c>
    </row>
    <row r="44" spans="22:23" x14ac:dyDescent="0.2">
      <c r="V44" s="260" t="s">
        <v>8</v>
      </c>
      <c r="W44" s="361" t="s">
        <v>223</v>
      </c>
    </row>
    <row r="45" spans="22:23" ht="24" x14ac:dyDescent="0.2">
      <c r="V45" s="260" t="s">
        <v>224</v>
      </c>
      <c r="W45" s="361" t="s">
        <v>225</v>
      </c>
    </row>
    <row r="47" spans="22:23" x14ac:dyDescent="0.2">
      <c r="V47" s="71" t="s">
        <v>230</v>
      </c>
      <c r="W47" s="71" t="s">
        <v>236</v>
      </c>
    </row>
    <row r="48" spans="22:23" x14ac:dyDescent="0.2">
      <c r="V48" s="260" t="s">
        <v>220</v>
      </c>
      <c r="W48" s="260" t="s">
        <v>227</v>
      </c>
    </row>
    <row r="49" spans="22:23" x14ac:dyDescent="0.2">
      <c r="V49" s="260" t="s">
        <v>221</v>
      </c>
      <c r="W49" s="260" t="s">
        <v>228</v>
      </c>
    </row>
    <row r="50" spans="22:23" x14ac:dyDescent="0.2">
      <c r="V50" s="260" t="s">
        <v>8</v>
      </c>
      <c r="W50" s="260" t="s">
        <v>229</v>
      </c>
    </row>
    <row r="51" spans="22:23" x14ac:dyDescent="0.2">
      <c r="V51" s="260" t="s">
        <v>224</v>
      </c>
      <c r="W51" s="362" t="b">
        <v>1</v>
      </c>
    </row>
    <row r="53" spans="22:23" x14ac:dyDescent="0.2">
      <c r="V53" s="71" t="s">
        <v>234</v>
      </c>
      <c r="W53" s="71" t="s">
        <v>237</v>
      </c>
    </row>
    <row r="54" spans="22:23" x14ac:dyDescent="0.2">
      <c r="V54" s="260" t="s">
        <v>220</v>
      </c>
      <c r="W54" s="260" t="s">
        <v>231</v>
      </c>
    </row>
    <row r="55" spans="22:23" x14ac:dyDescent="0.2">
      <c r="V55" s="260" t="s">
        <v>221</v>
      </c>
      <c r="W55" s="260" t="s">
        <v>232</v>
      </c>
    </row>
    <row r="56" spans="22:23" x14ac:dyDescent="0.2">
      <c r="V56" s="260" t="s">
        <v>8</v>
      </c>
      <c r="W56" s="260" t="s">
        <v>233</v>
      </c>
    </row>
    <row r="57" spans="22:23" x14ac:dyDescent="0.2">
      <c r="V57" s="260" t="s">
        <v>224</v>
      </c>
      <c r="W57" s="362" t="b">
        <v>1</v>
      </c>
    </row>
    <row r="59" spans="22:23" x14ac:dyDescent="0.2">
      <c r="V59" s="71" t="s">
        <v>241</v>
      </c>
      <c r="W59" s="71" t="s">
        <v>242</v>
      </c>
    </row>
    <row r="60" spans="22:23" x14ac:dyDescent="0.2">
      <c r="V60" s="363" t="s">
        <v>15</v>
      </c>
      <c r="W60" s="363" t="s">
        <v>240</v>
      </c>
    </row>
    <row r="61" spans="22:23" x14ac:dyDescent="0.2">
      <c r="V61" s="260" t="s">
        <v>38</v>
      </c>
      <c r="W61" s="362">
        <v>0.10607999999999999</v>
      </c>
    </row>
    <row r="62" spans="22:23" x14ac:dyDescent="0.2">
      <c r="V62" s="260" t="s">
        <v>39</v>
      </c>
      <c r="W62" s="362">
        <v>0.14137</v>
      </c>
    </row>
    <row r="63" spans="22:23" x14ac:dyDescent="0.2">
      <c r="V63" s="260" t="s">
        <v>40</v>
      </c>
      <c r="W63" s="362">
        <v>0.17266000000000001</v>
      </c>
    </row>
    <row r="64" spans="22:23" x14ac:dyDescent="0.2">
      <c r="V64" s="260" t="s">
        <v>41</v>
      </c>
      <c r="W64" s="362">
        <v>0.18498000000000001</v>
      </c>
    </row>
    <row r="65" spans="22:23" x14ac:dyDescent="0.2">
      <c r="V65" s="260" t="s">
        <v>43</v>
      </c>
      <c r="W65" s="362">
        <v>0.18451999999999999</v>
      </c>
    </row>
    <row r="66" spans="22:23" x14ac:dyDescent="0.2">
      <c r="V66" s="260" t="s">
        <v>53</v>
      </c>
      <c r="W66" s="362">
        <v>0.18978999999999999</v>
      </c>
    </row>
    <row r="67" spans="22:23" x14ac:dyDescent="0.2">
      <c r="V67" s="260" t="s">
        <v>42</v>
      </c>
      <c r="W67" s="362">
        <v>0.17807999999999999</v>
      </c>
    </row>
  </sheetData>
  <sheetProtection algorithmName="SHA-512" hashValue="Jd9MKq1DX2pe0gQGU0i15DbWR0JZMjDHY+6Mf4TkmqHW2lvsXlryA4u19mmLAiJxPiNj0UfstXVnhYO82e/k2Q==" saltValue="opTSNSwtPPEsqLdeU/4mL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D5" sqref="D5"/>
    </sheetView>
  </sheetViews>
  <sheetFormatPr defaultRowHeight="12.75" x14ac:dyDescent="0.2"/>
  <cols>
    <col min="2" max="2" width="39.42578125" customWidth="1"/>
    <col min="6" max="6" width="22.42578125" customWidth="1"/>
  </cols>
  <sheetData>
    <row r="1" spans="1:7" x14ac:dyDescent="0.2">
      <c r="A1" s="10" t="s">
        <v>11</v>
      </c>
    </row>
    <row r="2" spans="1:7" x14ac:dyDescent="0.2">
      <c r="A2" t="s">
        <v>117</v>
      </c>
      <c r="B2" s="185" t="s">
        <v>15</v>
      </c>
      <c r="C2" s="338">
        <f>forside!B8</f>
        <v>0</v>
      </c>
    </row>
    <row r="3" spans="1:7" x14ac:dyDescent="0.2">
      <c r="B3" s="187" t="s">
        <v>16</v>
      </c>
      <c r="C3" s="339">
        <f>forside!B11</f>
        <v>0</v>
      </c>
    </row>
    <row r="4" spans="1:7" x14ac:dyDescent="0.2">
      <c r="B4" s="187"/>
      <c r="C4" s="188"/>
      <c r="D4" s="1" t="s">
        <v>7</v>
      </c>
    </row>
    <row r="5" spans="1:7" x14ac:dyDescent="0.2">
      <c r="B5" s="189" t="s">
        <v>17</v>
      </c>
      <c r="C5" s="340">
        <f>forside!B15</f>
        <v>0</v>
      </c>
      <c r="D5" s="226">
        <f>_xlfn.NORM.DIST(C5,$G$7,$G$8,TRUE)*100</f>
        <v>0.43741766651151542</v>
      </c>
      <c r="F5" s="158" t="s">
        <v>127</v>
      </c>
      <c r="G5" s="3">
        <f>_xlfn.NORM.S.INV(D5/100)</f>
        <v>-2.6217345805703935</v>
      </c>
    </row>
    <row r="7" spans="1:7" x14ac:dyDescent="0.2">
      <c r="B7" s="1" t="s">
        <v>5</v>
      </c>
      <c r="F7" t="s">
        <v>10</v>
      </c>
      <c r="G7" s="2">
        <f>C14</f>
        <v>33.060073060992657</v>
      </c>
    </row>
    <row r="8" spans="1:7" x14ac:dyDescent="0.2">
      <c r="B8" t="s">
        <v>1</v>
      </c>
      <c r="C8" s="7">
        <v>33.060073060992657</v>
      </c>
      <c r="F8" t="s">
        <v>8</v>
      </c>
      <c r="G8" s="3">
        <f>G12</f>
        <v>12.61</v>
      </c>
    </row>
    <row r="9" spans="1:7" x14ac:dyDescent="0.2">
      <c r="B9" t="s">
        <v>2</v>
      </c>
      <c r="C9" s="7">
        <v>-5.7510324138675385E-2</v>
      </c>
    </row>
    <row r="10" spans="1:7" x14ac:dyDescent="0.2">
      <c r="B10" t="s">
        <v>3</v>
      </c>
      <c r="C10" s="7">
        <v>-2.6808189545496877E-3</v>
      </c>
      <c r="G10" s="3"/>
    </row>
    <row r="11" spans="1:7" x14ac:dyDescent="0.2">
      <c r="B11" t="s">
        <v>4</v>
      </c>
      <c r="C11" s="7">
        <v>1.9244597277136044</v>
      </c>
      <c r="F11" s="1" t="s">
        <v>12</v>
      </c>
    </row>
    <row r="12" spans="1:7" x14ac:dyDescent="0.2">
      <c r="F12" t="s">
        <v>25</v>
      </c>
      <c r="G12" s="15">
        <v>12.61</v>
      </c>
    </row>
    <row r="13" spans="1:7" x14ac:dyDescent="0.2">
      <c r="C13" s="1" t="s">
        <v>6</v>
      </c>
      <c r="D13" s="1" t="s">
        <v>7</v>
      </c>
      <c r="G13" s="4"/>
    </row>
    <row r="14" spans="1:7" x14ac:dyDescent="0.2">
      <c r="B14" t="s">
        <v>0</v>
      </c>
      <c r="C14" s="9">
        <f>C8+(C2*C9)+(C2*C2*SDMT!C10)+(C3*SDMT!C11)</f>
        <v>33.060073060992657</v>
      </c>
      <c r="D14" s="2">
        <f>NORMDIST(C14,$G$7,$G$8,TRUE)*100</f>
        <v>50</v>
      </c>
      <c r="G14" s="4"/>
    </row>
    <row r="15" spans="1:7" x14ac:dyDescent="0.2">
      <c r="B15" t="s">
        <v>9</v>
      </c>
      <c r="C15" s="3">
        <f>C11*(C3-C17)</f>
        <v>-24.442078287394985</v>
      </c>
      <c r="D15" s="2"/>
    </row>
    <row r="17" spans="2:4" x14ac:dyDescent="0.2">
      <c r="B17" s="5" t="s">
        <v>14</v>
      </c>
      <c r="C17" s="6">
        <v>12.700748129675812</v>
      </c>
    </row>
    <row r="18" spans="2:4" x14ac:dyDescent="0.2">
      <c r="C18" s="3"/>
    </row>
    <row r="19" spans="2:4" x14ac:dyDescent="0.2">
      <c r="B19" t="s">
        <v>32</v>
      </c>
    </row>
    <row r="21" spans="2:4" x14ac:dyDescent="0.2">
      <c r="C21" s="3"/>
    </row>
    <row r="22" spans="2:4" x14ac:dyDescent="0.2">
      <c r="C22" s="3"/>
    </row>
    <row r="23" spans="2:4" x14ac:dyDescent="0.2">
      <c r="C23" s="3"/>
    </row>
    <row r="24" spans="2:4" x14ac:dyDescent="0.2">
      <c r="C24" s="3"/>
    </row>
    <row r="25" spans="2:4" x14ac:dyDescent="0.2">
      <c r="C25" s="3"/>
    </row>
    <row r="26" spans="2:4" x14ac:dyDescent="0.2">
      <c r="D26" s="1"/>
    </row>
    <row r="27" spans="2:4" x14ac:dyDescent="0.2">
      <c r="D27" s="2"/>
    </row>
    <row r="28" spans="2:4" x14ac:dyDescent="0.2">
      <c r="D2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workbookViewId="0">
      <selection activeCell="D6" sqref="D6"/>
    </sheetView>
  </sheetViews>
  <sheetFormatPr defaultRowHeight="12.75" x14ac:dyDescent="0.2"/>
  <cols>
    <col min="2" max="2" width="28.28515625" customWidth="1"/>
    <col min="6" max="6" width="20" style="28" customWidth="1"/>
    <col min="7" max="7" width="25.5703125" style="28" customWidth="1"/>
    <col min="8" max="8" width="11.7109375" style="28" customWidth="1"/>
    <col min="9" max="10" width="9.140625" style="28"/>
  </cols>
  <sheetData>
    <row r="1" spans="1:9" x14ac:dyDescent="0.2">
      <c r="A1" s="10" t="s">
        <v>24</v>
      </c>
    </row>
    <row r="2" spans="1:9" x14ac:dyDescent="0.2">
      <c r="B2" s="185" t="s">
        <v>15</v>
      </c>
      <c r="C2" s="338">
        <f>forside!B8</f>
        <v>0</v>
      </c>
    </row>
    <row r="3" spans="1:9" x14ac:dyDescent="0.2">
      <c r="A3" t="s">
        <v>117</v>
      </c>
      <c r="B3" s="187" t="s">
        <v>16</v>
      </c>
      <c r="C3" s="339">
        <f>forside!B11</f>
        <v>0</v>
      </c>
      <c r="G3" t="s">
        <v>10</v>
      </c>
      <c r="H3" s="2">
        <f>C14</f>
        <v>18.711024433673234</v>
      </c>
    </row>
    <row r="4" spans="1:9" x14ac:dyDescent="0.2">
      <c r="B4" s="187"/>
      <c r="C4" s="188"/>
      <c r="D4" s="1" t="s">
        <v>7</v>
      </c>
      <c r="E4" s="1" t="s">
        <v>18</v>
      </c>
      <c r="G4" t="s">
        <v>19</v>
      </c>
      <c r="H4" s="3">
        <f>H13</f>
        <v>6.6408217340929818</v>
      </c>
    </row>
    <row r="5" spans="1:9" x14ac:dyDescent="0.2">
      <c r="B5" s="189" t="s">
        <v>17</v>
      </c>
      <c r="C5" s="340">
        <f>forside!B19</f>
        <v>0</v>
      </c>
      <c r="D5" s="226">
        <f>_xlfn.NORM.DIST(C5,$H$3,$H$4,TRUE)*100</f>
        <v>0.24193779751162217</v>
      </c>
      <c r="E5" s="2">
        <f>100-D5</f>
        <v>99.758062202488375</v>
      </c>
      <c r="G5" s="158" t="s">
        <v>127</v>
      </c>
      <c r="H5" s="3">
        <f>_xlfn.NORM.S.INV(D5/100)</f>
        <v>-2.8175766769364761</v>
      </c>
    </row>
    <row r="6" spans="1:9" x14ac:dyDescent="0.2">
      <c r="G6"/>
      <c r="H6" s="3"/>
    </row>
    <row r="7" spans="1:9" x14ac:dyDescent="0.2">
      <c r="B7" s="1" t="s">
        <v>5</v>
      </c>
      <c r="G7" s="1" t="s">
        <v>12</v>
      </c>
      <c r="H7"/>
    </row>
    <row r="8" spans="1:9" x14ac:dyDescent="0.2">
      <c r="B8" t="s">
        <v>1</v>
      </c>
      <c r="C8" s="7">
        <v>18.711024433673234</v>
      </c>
      <c r="G8" t="s">
        <v>1</v>
      </c>
      <c r="H8" s="4"/>
    </row>
    <row r="9" spans="1:9" x14ac:dyDescent="0.2">
      <c r="B9" t="s">
        <v>2</v>
      </c>
      <c r="C9" s="7">
        <v>4.8741428898602883E-2</v>
      </c>
      <c r="G9" t="s">
        <v>2</v>
      </c>
      <c r="H9" s="4"/>
    </row>
    <row r="10" spans="1:9" x14ac:dyDescent="0.2">
      <c r="B10" t="s">
        <v>3</v>
      </c>
      <c r="C10" s="7">
        <v>-1.6378616223621839E-3</v>
      </c>
      <c r="G10" t="s">
        <v>3</v>
      </c>
      <c r="H10" s="4"/>
    </row>
    <row r="11" spans="1:9" x14ac:dyDescent="0.2">
      <c r="B11" t="s">
        <v>4</v>
      </c>
      <c r="C11" s="7">
        <v>0.32812335156042433</v>
      </c>
      <c r="F11" s="140"/>
      <c r="G11" t="s">
        <v>13</v>
      </c>
      <c r="H11">
        <v>0</v>
      </c>
      <c r="I11" s="140"/>
    </row>
    <row r="12" spans="1:9" x14ac:dyDescent="0.2">
      <c r="F12" s="205"/>
      <c r="G12"/>
      <c r="H12"/>
      <c r="I12" s="147"/>
    </row>
    <row r="13" spans="1:9" x14ac:dyDescent="0.2">
      <c r="C13" s="1" t="s">
        <v>6</v>
      </c>
      <c r="D13" s="1" t="s">
        <v>7</v>
      </c>
      <c r="F13" s="206"/>
      <c r="G13" t="s">
        <v>25</v>
      </c>
      <c r="H13" s="214">
        <v>6.6408217340929818</v>
      </c>
      <c r="I13" s="207"/>
    </row>
    <row r="14" spans="1:9" x14ac:dyDescent="0.2">
      <c r="B14" t="s">
        <v>0</v>
      </c>
      <c r="C14" s="9">
        <f>C8+(C2*C9)+(C2*C2*C10)+(C3*C11)</f>
        <v>18.711024433673234</v>
      </c>
      <c r="D14" s="2">
        <f>NORMDIST(C14,$H$3,$H$4,TRUE)*100</f>
        <v>50</v>
      </c>
      <c r="F14" s="206"/>
      <c r="G14" s="174"/>
      <c r="H14" s="174"/>
      <c r="I14" s="207"/>
    </row>
    <row r="15" spans="1:9" x14ac:dyDescent="0.2">
      <c r="B15" t="s">
        <v>9</v>
      </c>
      <c r="C15" s="3">
        <f>C11*(C3-C17)</f>
        <v>-4.3846908098479869</v>
      </c>
      <c r="D15" s="2"/>
      <c r="F15" s="206"/>
      <c r="G15" s="174"/>
      <c r="H15" s="174"/>
      <c r="I15" s="207"/>
    </row>
    <row r="16" spans="1:9" x14ac:dyDescent="0.2">
      <c r="F16" s="206"/>
      <c r="G16" s="174"/>
      <c r="H16" s="174"/>
      <c r="I16" s="207"/>
    </row>
    <row r="17" spans="2:9" x14ac:dyDescent="0.2">
      <c r="B17" s="5" t="s">
        <v>14</v>
      </c>
      <c r="C17" s="8">
        <v>13.362934362934363</v>
      </c>
      <c r="F17" s="206"/>
      <c r="G17" s="174"/>
      <c r="H17" s="174"/>
      <c r="I17" s="207"/>
    </row>
    <row r="18" spans="2:9" x14ac:dyDescent="0.2">
      <c r="F18" s="206"/>
      <c r="G18" s="174"/>
      <c r="H18" s="174"/>
      <c r="I18" s="207"/>
    </row>
    <row r="19" spans="2:9" x14ac:dyDescent="0.2">
      <c r="F19" s="206"/>
      <c r="G19" s="174"/>
      <c r="H19" s="174"/>
      <c r="I19" s="207"/>
    </row>
    <row r="20" spans="2:9" x14ac:dyDescent="0.2">
      <c r="F20" s="208"/>
      <c r="G20" s="113"/>
      <c r="H20" s="113"/>
      <c r="I20" s="113"/>
    </row>
    <row r="21" spans="2:9" x14ac:dyDescent="0.2">
      <c r="F21" s="209"/>
      <c r="G21" s="113"/>
      <c r="H21" s="210"/>
      <c r="I21" s="113"/>
    </row>
    <row r="22" spans="2:9" x14ac:dyDescent="0.2">
      <c r="F22" s="113"/>
      <c r="G22" s="113"/>
      <c r="H22" s="113"/>
      <c r="I22" s="113"/>
    </row>
    <row r="23" spans="2:9" x14ac:dyDescent="0.2">
      <c r="F23" s="211"/>
      <c r="G23" s="113"/>
      <c r="H23" s="113"/>
      <c r="I23" s="113"/>
    </row>
    <row r="24" spans="2:9" x14ac:dyDescent="0.2">
      <c r="F24" s="113"/>
      <c r="G24" s="113"/>
      <c r="H24" s="113"/>
      <c r="I24" s="113"/>
    </row>
    <row r="25" spans="2:9" ht="27.75" customHeight="1" x14ac:dyDescent="0.2">
      <c r="F25" s="212"/>
      <c r="G25" s="208"/>
      <c r="H25" s="113"/>
      <c r="I25" s="113"/>
    </row>
    <row r="26" spans="2:9" x14ac:dyDescent="0.2">
      <c r="F26" s="140"/>
      <c r="G26" s="140"/>
      <c r="H26" s="140"/>
      <c r="I26" s="140"/>
    </row>
    <row r="27" spans="2:9" x14ac:dyDescent="0.2">
      <c r="F27" s="147"/>
      <c r="G27" s="144"/>
      <c r="H27" s="144"/>
      <c r="I27" s="140"/>
    </row>
    <row r="28" spans="2:9" x14ac:dyDescent="0.2">
      <c r="F28" s="158"/>
      <c r="G28" s="148"/>
      <c r="H28" s="149"/>
      <c r="I28" s="140"/>
    </row>
    <row r="29" spans="2:9" x14ac:dyDescent="0.2">
      <c r="F29" s="213"/>
      <c r="G29" s="148"/>
      <c r="H29" s="149"/>
      <c r="I29" s="1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election activeCell="D6" sqref="D6"/>
    </sheetView>
  </sheetViews>
  <sheetFormatPr defaultRowHeight="12.75" x14ac:dyDescent="0.2"/>
  <cols>
    <col min="2" max="2" width="41.140625" customWidth="1"/>
    <col min="4" max="4" width="13.85546875" customWidth="1"/>
    <col min="5" max="5" width="11.5703125" customWidth="1"/>
    <col min="6" max="6" width="4.5703125" customWidth="1"/>
    <col min="7" max="7" width="36.28515625" customWidth="1"/>
  </cols>
  <sheetData>
    <row r="1" spans="1:8" x14ac:dyDescent="0.2">
      <c r="A1" s="10" t="s">
        <v>20</v>
      </c>
    </row>
    <row r="2" spans="1:8" x14ac:dyDescent="0.2">
      <c r="B2" s="185" t="s">
        <v>15</v>
      </c>
      <c r="C2" s="338">
        <f>forside!B8</f>
        <v>0</v>
      </c>
    </row>
    <row r="3" spans="1:8" x14ac:dyDescent="0.2">
      <c r="A3" t="s">
        <v>117</v>
      </c>
      <c r="B3" s="187" t="s">
        <v>16</v>
      </c>
      <c r="C3" s="339">
        <f>forside!B11</f>
        <v>0</v>
      </c>
      <c r="G3" t="s">
        <v>10</v>
      </c>
      <c r="H3" s="2">
        <f>C14</f>
        <v>32.202623701496371</v>
      </c>
    </row>
    <row r="4" spans="1:8" x14ac:dyDescent="0.2">
      <c r="B4" s="187"/>
      <c r="C4" s="188"/>
      <c r="D4" s="1" t="s">
        <v>7</v>
      </c>
      <c r="E4" s="1" t="s">
        <v>18</v>
      </c>
      <c r="G4" t="s">
        <v>19</v>
      </c>
      <c r="H4" s="3">
        <f>H13</f>
        <v>7.13</v>
      </c>
    </row>
    <row r="5" spans="1:8" x14ac:dyDescent="0.2">
      <c r="B5" s="189" t="s">
        <v>17</v>
      </c>
      <c r="C5" s="342">
        <f>forside!B22</f>
        <v>0</v>
      </c>
      <c r="D5" s="226">
        <f>_xlfn.NORM.DIST(C5,$H$3,$H$4,TRUE)*100</f>
        <v>3.143550183863397E-4</v>
      </c>
      <c r="E5" s="2">
        <f>100-D5</f>
        <v>99.999685644981611</v>
      </c>
      <c r="G5" s="158" t="s">
        <v>127</v>
      </c>
      <c r="H5" s="3">
        <f>_xlfn.NORM.S.INV(D5/100)</f>
        <v>-4.5164970128325912</v>
      </c>
    </row>
    <row r="6" spans="1:8" x14ac:dyDescent="0.2">
      <c r="H6" s="3"/>
    </row>
    <row r="7" spans="1:8" x14ac:dyDescent="0.2">
      <c r="B7" s="1" t="s">
        <v>5</v>
      </c>
      <c r="G7" s="1" t="s">
        <v>12</v>
      </c>
    </row>
    <row r="8" spans="1:8" x14ac:dyDescent="0.2">
      <c r="B8" t="s">
        <v>1</v>
      </c>
      <c r="C8" s="7">
        <v>32.202623701496371</v>
      </c>
      <c r="G8" t="s">
        <v>1</v>
      </c>
      <c r="H8" s="4"/>
    </row>
    <row r="9" spans="1:8" x14ac:dyDescent="0.2">
      <c r="B9" t="s">
        <v>2</v>
      </c>
      <c r="C9" s="7">
        <v>-5.0947453664864334E-2</v>
      </c>
      <c r="G9" t="s">
        <v>2</v>
      </c>
      <c r="H9" s="4"/>
    </row>
    <row r="10" spans="1:8" x14ac:dyDescent="0.2">
      <c r="B10" t="s">
        <v>4</v>
      </c>
      <c r="C10" s="7">
        <v>0.71857450782604215</v>
      </c>
      <c r="G10" t="s">
        <v>3</v>
      </c>
      <c r="H10" s="4"/>
    </row>
    <row r="11" spans="1:8" x14ac:dyDescent="0.2">
      <c r="G11" t="s">
        <v>13</v>
      </c>
      <c r="H11">
        <f>H8+(H9*forside!B8)+(H10*forside!B8*forside!B8)</f>
        <v>0</v>
      </c>
    </row>
    <row r="13" spans="1:8" x14ac:dyDescent="0.2">
      <c r="C13" s="1" t="s">
        <v>6</v>
      </c>
      <c r="D13" s="1" t="s">
        <v>7</v>
      </c>
      <c r="G13" t="s">
        <v>25</v>
      </c>
      <c r="H13" s="16">
        <v>7.13</v>
      </c>
    </row>
    <row r="14" spans="1:8" x14ac:dyDescent="0.2">
      <c r="B14" t="s">
        <v>0</v>
      </c>
      <c r="C14" s="9">
        <f>C8+(C2*C9)+(C3*C10)</f>
        <v>32.202623701496371</v>
      </c>
      <c r="D14" s="2">
        <f>NORMDIST(C14,$H$3,$H$4,TRUE)*100</f>
        <v>50</v>
      </c>
    </row>
    <row r="15" spans="1:8" x14ac:dyDescent="0.2">
      <c r="B15" t="s">
        <v>9</v>
      </c>
      <c r="C15" s="3">
        <f>C10*(C3-C17)</f>
        <v>-9.3181003250612804</v>
      </c>
      <c r="D15" s="2"/>
    </row>
    <row r="17" spans="2:3" x14ac:dyDescent="0.2">
      <c r="B17" s="5" t="s">
        <v>14</v>
      </c>
      <c r="C17" s="11">
        <v>12.967479674796751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workbookViewId="0">
      <selection activeCell="D6" sqref="D6"/>
    </sheetView>
  </sheetViews>
  <sheetFormatPr defaultRowHeight="12.75" x14ac:dyDescent="0.2"/>
  <cols>
    <col min="2" max="2" width="39.140625" customWidth="1"/>
    <col min="7" max="7" width="39.5703125" customWidth="1"/>
  </cols>
  <sheetData>
    <row r="1" spans="1:8" x14ac:dyDescent="0.2">
      <c r="A1" s="10" t="s">
        <v>27</v>
      </c>
    </row>
    <row r="2" spans="1:8" x14ac:dyDescent="0.2">
      <c r="B2" s="185" t="s">
        <v>15</v>
      </c>
      <c r="C2" s="338">
        <f>forside!B8</f>
        <v>0</v>
      </c>
    </row>
    <row r="3" spans="1:8" x14ac:dyDescent="0.2">
      <c r="A3" t="s">
        <v>117</v>
      </c>
      <c r="B3" s="187" t="s">
        <v>16</v>
      </c>
      <c r="C3" s="339">
        <f>forside!B11</f>
        <v>0</v>
      </c>
      <c r="G3" t="s">
        <v>10</v>
      </c>
      <c r="H3" s="2">
        <f>C14</f>
        <v>33.289163271942499</v>
      </c>
    </row>
    <row r="4" spans="1:8" x14ac:dyDescent="0.2">
      <c r="B4" s="187"/>
      <c r="C4" s="188"/>
      <c r="D4" s="1" t="s">
        <v>7</v>
      </c>
      <c r="E4" s="1" t="s">
        <v>18</v>
      </c>
      <c r="G4" t="s">
        <v>19</v>
      </c>
      <c r="H4" s="3">
        <f>H13</f>
        <v>7.5928685549377137</v>
      </c>
    </row>
    <row r="5" spans="1:8" x14ac:dyDescent="0.2">
      <c r="B5" s="189" t="s">
        <v>17</v>
      </c>
      <c r="C5" s="342">
        <f>forside!B23</f>
        <v>0</v>
      </c>
      <c r="D5" s="226">
        <f>_xlfn.NORM.DIST(C5,$H$3,$H$4,TRUE)*100</f>
        <v>5.8188475362734766E-4</v>
      </c>
      <c r="E5" s="2">
        <f>100-D5</f>
        <v>99.999418115246371</v>
      </c>
      <c r="G5" s="158" t="s">
        <v>127</v>
      </c>
      <c r="H5" s="3">
        <f>_xlfn.NORM.S.INV(D5/100)</f>
        <v>-4.3842670304484903</v>
      </c>
    </row>
    <row r="6" spans="1:8" x14ac:dyDescent="0.2">
      <c r="H6" s="3"/>
    </row>
    <row r="7" spans="1:8" x14ac:dyDescent="0.2">
      <c r="B7" s="1" t="s">
        <v>5</v>
      </c>
      <c r="G7" s="1" t="s">
        <v>12</v>
      </c>
    </row>
    <row r="8" spans="1:8" x14ac:dyDescent="0.2">
      <c r="B8" t="s">
        <v>1</v>
      </c>
      <c r="C8" s="7">
        <v>33.289163271942499</v>
      </c>
      <c r="G8" t="s">
        <v>1</v>
      </c>
      <c r="H8" s="4"/>
    </row>
    <row r="9" spans="1:8" x14ac:dyDescent="0.2">
      <c r="B9" t="s">
        <v>2</v>
      </c>
      <c r="C9" s="7">
        <v>-6.9820159767709333E-2</v>
      </c>
      <c r="G9" t="s">
        <v>2</v>
      </c>
      <c r="H9" s="4"/>
    </row>
    <row r="10" spans="1:8" x14ac:dyDescent="0.2">
      <c r="B10" t="s">
        <v>4</v>
      </c>
      <c r="C10" s="7">
        <v>0.57076759556714474</v>
      </c>
      <c r="G10" t="s">
        <v>3</v>
      </c>
      <c r="H10" s="4"/>
    </row>
    <row r="11" spans="1:8" x14ac:dyDescent="0.2">
      <c r="G11" t="s">
        <v>13</v>
      </c>
      <c r="H11">
        <f>H8+(H9*forside!B8)+(H10*forside!B8*forside!B8)</f>
        <v>0</v>
      </c>
    </row>
    <row r="13" spans="1:8" x14ac:dyDescent="0.2">
      <c r="C13" s="1" t="s">
        <v>6</v>
      </c>
      <c r="D13" s="1" t="s">
        <v>7</v>
      </c>
      <c r="G13" t="s">
        <v>25</v>
      </c>
      <c r="H13" s="17">
        <v>7.5928685549377137</v>
      </c>
    </row>
    <row r="14" spans="1:8" x14ac:dyDescent="0.2">
      <c r="B14" t="s">
        <v>0</v>
      </c>
      <c r="C14" s="9">
        <f>C8+(C2*C9)+(C3*C10)</f>
        <v>33.289163271942499</v>
      </c>
      <c r="D14" s="2">
        <f>NORMDIST(C14,$H$3,$H$4,TRUE)*100</f>
        <v>50</v>
      </c>
    </row>
    <row r="15" spans="1:8" x14ac:dyDescent="0.2">
      <c r="B15" t="s">
        <v>9</v>
      </c>
      <c r="C15" s="3">
        <f>C10*(C3-C17)</f>
        <v>-7.4014171945495617</v>
      </c>
      <c r="D15" s="2"/>
    </row>
    <row r="17" spans="2:3" x14ac:dyDescent="0.2">
      <c r="B17" s="5" t="s">
        <v>14</v>
      </c>
      <c r="C17" s="11">
        <v>12.967479674796751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
  <sheetViews>
    <sheetView workbookViewId="0">
      <selection activeCell="D6" sqref="D6"/>
    </sheetView>
  </sheetViews>
  <sheetFormatPr defaultRowHeight="12.75" x14ac:dyDescent="0.2"/>
  <cols>
    <col min="2" max="2" width="39.5703125" customWidth="1"/>
    <col min="7" max="7" width="36.140625" customWidth="1"/>
    <col min="8" max="8" width="17.85546875" customWidth="1"/>
  </cols>
  <sheetData>
    <row r="1" spans="1:8" x14ac:dyDescent="0.2">
      <c r="A1" s="10" t="s">
        <v>28</v>
      </c>
      <c r="B1" s="185"/>
      <c r="C1" s="353"/>
    </row>
    <row r="2" spans="1:8" x14ac:dyDescent="0.2">
      <c r="B2" s="187" t="s">
        <v>15</v>
      </c>
      <c r="C2" s="188">
        <f>forside!B8</f>
        <v>0</v>
      </c>
    </row>
    <row r="3" spans="1:8" x14ac:dyDescent="0.2">
      <c r="B3" s="187" t="s">
        <v>16</v>
      </c>
      <c r="C3" s="336">
        <f>forside!B11</f>
        <v>0</v>
      </c>
      <c r="G3" t="s">
        <v>10</v>
      </c>
      <c r="H3" s="2">
        <f>C14</f>
        <v>15.873113220109913</v>
      </c>
    </row>
    <row r="4" spans="1:8" x14ac:dyDescent="0.2">
      <c r="B4" s="187"/>
      <c r="C4" s="188"/>
      <c r="D4" s="1" t="s">
        <v>7</v>
      </c>
      <c r="E4" s="1" t="s">
        <v>18</v>
      </c>
      <c r="G4" t="s">
        <v>19</v>
      </c>
      <c r="H4" s="3">
        <f>H13</f>
        <v>5.5654187749046811</v>
      </c>
    </row>
    <row r="5" spans="1:8" x14ac:dyDescent="0.2">
      <c r="B5" s="189" t="s">
        <v>17</v>
      </c>
      <c r="C5" s="341">
        <f>forside!B27</f>
        <v>0</v>
      </c>
      <c r="D5" s="226">
        <f>_xlfn.NORM.DIST(C5,$H$3,$H$4,TRUE)*100</f>
        <v>0.21715934474907428</v>
      </c>
      <c r="E5" s="2">
        <f>100-D5</f>
        <v>99.782840655250922</v>
      </c>
      <c r="G5" s="158" t="s">
        <v>127</v>
      </c>
      <c r="H5" s="3">
        <f>_xlfn.NORM.S.INV(D5/100)</f>
        <v>-2.8520968254328296</v>
      </c>
    </row>
    <row r="6" spans="1:8" x14ac:dyDescent="0.2">
      <c r="H6" s="3"/>
    </row>
    <row r="7" spans="1:8" x14ac:dyDescent="0.2">
      <c r="B7" s="1" t="s">
        <v>5</v>
      </c>
      <c r="G7" s="1" t="s">
        <v>12</v>
      </c>
    </row>
    <row r="8" spans="1:8" x14ac:dyDescent="0.2">
      <c r="B8" t="s">
        <v>1</v>
      </c>
      <c r="C8" s="7">
        <v>15.873113220109913</v>
      </c>
      <c r="G8" t="s">
        <v>1</v>
      </c>
      <c r="H8" s="4"/>
    </row>
    <row r="9" spans="1:8" x14ac:dyDescent="0.2">
      <c r="B9" t="s">
        <v>2</v>
      </c>
      <c r="C9" s="7">
        <v>0.19236276520944584</v>
      </c>
      <c r="G9" t="s">
        <v>2</v>
      </c>
      <c r="H9" s="4"/>
    </row>
    <row r="10" spans="1:8" x14ac:dyDescent="0.2">
      <c r="B10" t="s">
        <v>3</v>
      </c>
      <c r="C10" s="7">
        <v>-2.6907814894181381E-3</v>
      </c>
      <c r="G10" t="s">
        <v>3</v>
      </c>
      <c r="H10" s="4"/>
    </row>
    <row r="11" spans="1:8" x14ac:dyDescent="0.2">
      <c r="B11" t="s">
        <v>4</v>
      </c>
      <c r="C11" s="7">
        <v>0.48264154242392443</v>
      </c>
      <c r="G11" t="s">
        <v>13</v>
      </c>
      <c r="H11">
        <f>H8+(H9*forside!B8)+(H10*forside!B8*forside!B8)</f>
        <v>0</v>
      </c>
    </row>
    <row r="13" spans="1:8" x14ac:dyDescent="0.2">
      <c r="C13" s="1" t="s">
        <v>6</v>
      </c>
      <c r="D13" s="1" t="s">
        <v>7</v>
      </c>
      <c r="G13" t="s">
        <v>25</v>
      </c>
      <c r="H13" s="12">
        <v>5.5654187749046811</v>
      </c>
    </row>
    <row r="14" spans="1:8" x14ac:dyDescent="0.2">
      <c r="B14" t="s">
        <v>0</v>
      </c>
      <c r="C14" s="9">
        <f>C8+(C2*C9)+(C2*C2*C10)+(C3*C11)</f>
        <v>15.873113220109913</v>
      </c>
      <c r="D14" s="2">
        <f>NORMDIST(C14,$H$3,$H$4,TRUE)*100</f>
        <v>50</v>
      </c>
    </row>
    <row r="15" spans="1:8" x14ac:dyDescent="0.2">
      <c r="B15" t="s">
        <v>9</v>
      </c>
      <c r="C15" s="3">
        <f>C11*(C3-C17)</f>
        <v>-6.356120979532851</v>
      </c>
      <c r="D15" s="2"/>
    </row>
    <row r="17" spans="2:3" x14ac:dyDescent="0.2">
      <c r="B17" s="5" t="s">
        <v>14</v>
      </c>
      <c r="C17" s="8">
        <v>13.169444444444448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workbookViewId="0">
      <selection activeCell="D6" sqref="D6"/>
    </sheetView>
  </sheetViews>
  <sheetFormatPr defaultRowHeight="12.75" x14ac:dyDescent="0.2"/>
  <cols>
    <col min="2" max="2" width="40.7109375" customWidth="1"/>
    <col min="7" max="7" width="37.140625" customWidth="1"/>
  </cols>
  <sheetData>
    <row r="1" spans="1:8" x14ac:dyDescent="0.2">
      <c r="A1" s="10" t="s">
        <v>29</v>
      </c>
    </row>
    <row r="2" spans="1:8" x14ac:dyDescent="0.2">
      <c r="B2" s="185" t="s">
        <v>15</v>
      </c>
      <c r="C2" s="186">
        <f>forside!B8</f>
        <v>0</v>
      </c>
    </row>
    <row r="3" spans="1:8" x14ac:dyDescent="0.2">
      <c r="B3" s="187" t="s">
        <v>16</v>
      </c>
      <c r="C3" s="336">
        <f>forside!B11</f>
        <v>0</v>
      </c>
      <c r="G3" t="s">
        <v>10</v>
      </c>
      <c r="H3" s="2">
        <f>C14</f>
        <v>5.0821282788386677</v>
      </c>
    </row>
    <row r="4" spans="1:8" x14ac:dyDescent="0.2">
      <c r="B4" s="187"/>
      <c r="C4" s="188"/>
      <c r="D4" s="1" t="s">
        <v>7</v>
      </c>
      <c r="E4" s="1" t="s">
        <v>18</v>
      </c>
      <c r="G4" t="s">
        <v>19</v>
      </c>
      <c r="H4" s="3">
        <f>H13</f>
        <v>5.3737472756715645</v>
      </c>
    </row>
    <row r="5" spans="1:8" x14ac:dyDescent="0.2">
      <c r="B5" s="189" t="s">
        <v>17</v>
      </c>
      <c r="C5" s="341">
        <f>forside!B28</f>
        <v>0</v>
      </c>
      <c r="D5" s="226">
        <f>_xlfn.NORM.DIST(C5,$H$3,$H$4,TRUE)*100</f>
        <v>17.214248117584827</v>
      </c>
      <c r="E5" s="2">
        <f>100-D5</f>
        <v>82.78575188241517</v>
      </c>
      <c r="G5" s="158" t="s">
        <v>127</v>
      </c>
      <c r="H5" s="3">
        <f>_xlfn.NORM.S.INV(D5/100)</f>
        <v>-0.94573265509653948</v>
      </c>
    </row>
    <row r="6" spans="1:8" x14ac:dyDescent="0.2">
      <c r="H6" s="3"/>
    </row>
    <row r="7" spans="1:8" x14ac:dyDescent="0.2">
      <c r="B7" s="1" t="s">
        <v>5</v>
      </c>
      <c r="G7" s="1" t="s">
        <v>12</v>
      </c>
    </row>
    <row r="8" spans="1:8" x14ac:dyDescent="0.2">
      <c r="B8" t="s">
        <v>1</v>
      </c>
      <c r="C8" s="7">
        <v>5.0821282788386677</v>
      </c>
      <c r="G8" t="s">
        <v>1</v>
      </c>
      <c r="H8" s="4"/>
    </row>
    <row r="9" spans="1:8" x14ac:dyDescent="0.2">
      <c r="B9" t="s">
        <v>2</v>
      </c>
      <c r="C9" s="7">
        <v>7.857873654007945E-2</v>
      </c>
      <c r="G9" t="s">
        <v>2</v>
      </c>
      <c r="H9" s="4"/>
    </row>
    <row r="10" spans="1:8" x14ac:dyDescent="0.2">
      <c r="B10" t="s">
        <v>3</v>
      </c>
      <c r="C10" s="7">
        <v>-9.4866450558560723E-4</v>
      </c>
      <c r="G10" t="s">
        <v>3</v>
      </c>
      <c r="H10" s="4"/>
    </row>
    <row r="11" spans="1:8" x14ac:dyDescent="0.2">
      <c r="B11" t="s">
        <v>4</v>
      </c>
      <c r="C11" s="7">
        <v>0.68782419773959536</v>
      </c>
      <c r="G11" t="s">
        <v>13</v>
      </c>
      <c r="H11">
        <f>H8+(H9*forside!B8)+(H10*forside!B8*forside!B8)</f>
        <v>0</v>
      </c>
    </row>
    <row r="13" spans="1:8" x14ac:dyDescent="0.2">
      <c r="C13" s="1" t="s">
        <v>6</v>
      </c>
      <c r="D13" s="1" t="s">
        <v>7</v>
      </c>
      <c r="G13" t="s">
        <v>25</v>
      </c>
      <c r="H13" s="12">
        <v>5.3737472756715645</v>
      </c>
    </row>
    <row r="14" spans="1:8" x14ac:dyDescent="0.2">
      <c r="B14" t="s">
        <v>0</v>
      </c>
      <c r="C14" s="9">
        <f>C8+(C2*C9)+(C2*C2*C10)+(C3*C11)</f>
        <v>5.0821282788386677</v>
      </c>
      <c r="D14" s="2">
        <f>NORMDIST(C14,$H$3,$H$4,TRUE)*100</f>
        <v>50</v>
      </c>
    </row>
    <row r="15" spans="1:8" x14ac:dyDescent="0.2">
      <c r="B15" t="s">
        <v>9</v>
      </c>
      <c r="C15" s="3">
        <f>C11*(C3-C17)</f>
        <v>-9.0585872058852512</v>
      </c>
      <c r="D15" s="2"/>
    </row>
    <row r="17" spans="2:3" x14ac:dyDescent="0.2">
      <c r="B17" s="5" t="s">
        <v>14</v>
      </c>
      <c r="C17" s="8">
        <v>13.169916434540383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7"/>
  <sheetViews>
    <sheetView workbookViewId="0">
      <selection activeCell="D6" sqref="D6"/>
    </sheetView>
  </sheetViews>
  <sheetFormatPr defaultRowHeight="12.75" x14ac:dyDescent="0.2"/>
  <cols>
    <col min="2" max="2" width="38" customWidth="1"/>
    <col min="6" max="6" width="4.28515625" customWidth="1"/>
    <col min="7" max="7" width="36.7109375" customWidth="1"/>
  </cols>
  <sheetData>
    <row r="1" spans="1:8" x14ac:dyDescent="0.2">
      <c r="A1" s="10" t="s">
        <v>23</v>
      </c>
    </row>
    <row r="2" spans="1:8" x14ac:dyDescent="0.2">
      <c r="B2" s="185" t="s">
        <v>15</v>
      </c>
      <c r="C2" s="186">
        <f>forside!B8</f>
        <v>0</v>
      </c>
    </row>
    <row r="3" spans="1:8" x14ac:dyDescent="0.2">
      <c r="B3" s="187" t="s">
        <v>16</v>
      </c>
      <c r="C3" s="336">
        <f>forside!B11</f>
        <v>0</v>
      </c>
      <c r="G3" t="s">
        <v>10</v>
      </c>
      <c r="H3" s="2">
        <f>C14</f>
        <v>35.346336693698547</v>
      </c>
    </row>
    <row r="4" spans="1:8" x14ac:dyDescent="0.2">
      <c r="B4" s="187"/>
      <c r="C4" s="188"/>
      <c r="D4" s="1" t="s">
        <v>7</v>
      </c>
      <c r="E4" s="1" t="s">
        <v>18</v>
      </c>
      <c r="G4" t="s">
        <v>19</v>
      </c>
      <c r="H4" s="3">
        <f>H11</f>
        <v>11.786</v>
      </c>
    </row>
    <row r="5" spans="1:8" x14ac:dyDescent="0.2">
      <c r="B5" s="189" t="s">
        <v>17</v>
      </c>
      <c r="C5" s="341">
        <f>forside!B29</f>
        <v>0</v>
      </c>
      <c r="D5" s="226">
        <f>_xlfn.NORM.DIST(C5,$H$3,$H$4,TRUE)*100</f>
        <v>0.13542902597736128</v>
      </c>
      <c r="E5" s="2">
        <f>100-D5</f>
        <v>99.864570974022641</v>
      </c>
      <c r="G5" s="158" t="s">
        <v>127</v>
      </c>
      <c r="H5" s="3">
        <f>_xlfn.NORM.S.INV(D5/100)</f>
        <v>-2.9990104101220556</v>
      </c>
    </row>
    <row r="6" spans="1:8" x14ac:dyDescent="0.2">
      <c r="H6" s="3"/>
    </row>
    <row r="7" spans="1:8" x14ac:dyDescent="0.2">
      <c r="B7" s="1" t="s">
        <v>5</v>
      </c>
      <c r="G7" s="1" t="s">
        <v>12</v>
      </c>
    </row>
    <row r="8" spans="1:8" x14ac:dyDescent="0.2">
      <c r="B8" t="s">
        <v>1</v>
      </c>
      <c r="C8" s="7">
        <v>35.346336693698547</v>
      </c>
      <c r="G8" s="5" t="s">
        <v>1</v>
      </c>
      <c r="H8" s="14">
        <v>11.786</v>
      </c>
    </row>
    <row r="9" spans="1:8" x14ac:dyDescent="0.2">
      <c r="B9" t="s">
        <v>2</v>
      </c>
      <c r="C9" s="7">
        <v>-0.23254353579020096</v>
      </c>
      <c r="G9" s="5" t="s">
        <v>2</v>
      </c>
      <c r="H9" s="14">
        <v>-5.3699999999999998E-2</v>
      </c>
    </row>
    <row r="10" spans="1:8" x14ac:dyDescent="0.2">
      <c r="B10" t="s">
        <v>4</v>
      </c>
      <c r="C10" s="7">
        <v>0.48784499014655114</v>
      </c>
      <c r="H10" s="4"/>
    </row>
    <row r="11" spans="1:8" x14ac:dyDescent="0.2">
      <c r="G11" t="s">
        <v>13</v>
      </c>
      <c r="H11">
        <f>H8+(C2*H9)</f>
        <v>11.786</v>
      </c>
    </row>
    <row r="13" spans="1:8" x14ac:dyDescent="0.2">
      <c r="C13" s="1" t="s">
        <v>6</v>
      </c>
      <c r="D13" s="1" t="s">
        <v>7</v>
      </c>
      <c r="G13" t="s">
        <v>25</v>
      </c>
      <c r="H13" s="3"/>
    </row>
    <row r="14" spans="1:8" x14ac:dyDescent="0.2">
      <c r="B14" t="s">
        <v>0</v>
      </c>
      <c r="C14" s="9">
        <f>C8+(C2*C9)+(C3*C10)</f>
        <v>35.346336693698547</v>
      </c>
      <c r="D14" s="2">
        <f>NORMDIST(C14,$H$3,$H$4,TRUE)*100</f>
        <v>50</v>
      </c>
    </row>
    <row r="15" spans="1:8" x14ac:dyDescent="0.2">
      <c r="B15" t="s">
        <v>9</v>
      </c>
      <c r="C15" s="3">
        <f>C10*(C3-C17)</f>
        <v>-6.7124709257428785</v>
      </c>
      <c r="D15" s="2"/>
    </row>
    <row r="17" spans="2:3" x14ac:dyDescent="0.2">
      <c r="B17" s="5" t="s">
        <v>14</v>
      </c>
      <c r="C17" s="13">
        <v>13.759433962264156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83"/>
  <sheetViews>
    <sheetView zoomScale="110" zoomScaleNormal="110" workbookViewId="0">
      <selection activeCell="H17" sqref="H17"/>
    </sheetView>
  </sheetViews>
  <sheetFormatPr defaultRowHeight="12" x14ac:dyDescent="0.2"/>
  <cols>
    <col min="1" max="1" width="9.140625" style="63"/>
    <col min="2" max="2" width="38.140625" style="63" customWidth="1"/>
    <col min="3" max="3" width="11" style="63" customWidth="1"/>
    <col min="4" max="4" width="16.42578125" style="63" customWidth="1"/>
    <col min="5" max="5" width="11.42578125" style="63" bestFit="1" customWidth="1"/>
    <col min="6" max="7" width="9.140625" style="63"/>
    <col min="8" max="8" width="11" style="63" customWidth="1"/>
    <col min="9" max="9" width="6.7109375" style="63" customWidth="1"/>
    <col min="10" max="10" width="3.28515625" style="63" customWidth="1"/>
    <col min="11" max="16384" width="9.140625" style="63"/>
  </cols>
  <sheetData>
    <row r="1" spans="1:12" ht="18" x14ac:dyDescent="0.2">
      <c r="A1" s="58" t="s">
        <v>37</v>
      </c>
      <c r="K1" s="64"/>
      <c r="L1" s="64"/>
    </row>
    <row r="2" spans="1:12" x14ac:dyDescent="0.2">
      <c r="B2" s="233" t="s">
        <v>15</v>
      </c>
      <c r="C2" s="343">
        <f>forside!B8</f>
        <v>0</v>
      </c>
      <c r="E2" s="71"/>
      <c r="H2" s="53"/>
      <c r="K2" s="56"/>
      <c r="L2" s="56"/>
    </row>
    <row r="3" spans="1:12" x14ac:dyDescent="0.2">
      <c r="B3" s="178" t="s">
        <v>16</v>
      </c>
      <c r="C3" s="344">
        <f>forside!B11</f>
        <v>0</v>
      </c>
      <c r="D3" s="75"/>
      <c r="F3" s="67"/>
      <c r="H3" s="53"/>
      <c r="K3" s="56"/>
      <c r="L3" s="56"/>
    </row>
    <row r="4" spans="1:12" x14ac:dyDescent="0.2">
      <c r="B4" s="178"/>
      <c r="C4" s="236"/>
      <c r="D4" s="104"/>
      <c r="F4" s="67"/>
      <c r="H4" s="53"/>
      <c r="K4" s="64"/>
      <c r="L4" s="64"/>
    </row>
    <row r="5" spans="1:12" x14ac:dyDescent="0.2">
      <c r="B5" s="180" t="s">
        <v>17</v>
      </c>
      <c r="C5" s="345">
        <f>forside!B16</f>
        <v>0</v>
      </c>
      <c r="D5" s="105"/>
      <c r="F5" s="67"/>
      <c r="H5" s="53"/>
      <c r="K5" s="64"/>
      <c r="L5" s="64"/>
    </row>
    <row r="6" spans="1:12" x14ac:dyDescent="0.2">
      <c r="D6" s="75"/>
      <c r="K6" s="56"/>
      <c r="L6" s="57"/>
    </row>
    <row r="7" spans="1:12" x14ac:dyDescent="0.2">
      <c r="B7" s="68" t="s">
        <v>5</v>
      </c>
      <c r="E7" s="69"/>
      <c r="G7" s="71" t="s">
        <v>69</v>
      </c>
      <c r="K7" s="56"/>
      <c r="L7" s="57"/>
    </row>
    <row r="8" spans="1:12" x14ac:dyDescent="0.2">
      <c r="B8" s="63" t="s">
        <v>1</v>
      </c>
      <c r="C8" s="72">
        <v>49.237022844579108</v>
      </c>
      <c r="E8" s="70"/>
      <c r="G8" s="63" t="s">
        <v>70</v>
      </c>
      <c r="H8" s="228">
        <v>0</v>
      </c>
      <c r="K8" s="56"/>
      <c r="L8" s="57"/>
    </row>
    <row r="9" spans="1:12" x14ac:dyDescent="0.2">
      <c r="B9" s="63" t="s">
        <v>2</v>
      </c>
      <c r="C9" s="72">
        <v>-0.32350960683524049</v>
      </c>
      <c r="E9" s="70"/>
      <c r="G9" s="53" t="s">
        <v>8</v>
      </c>
      <c r="H9" s="55" t="e">
        <f>VLOOKUP(M31,kat_A,2,TRUE)</f>
        <v>#N/A</v>
      </c>
      <c r="I9" s="55" t="s">
        <v>136</v>
      </c>
      <c r="K9" s="64"/>
      <c r="L9" s="64"/>
    </row>
    <row r="10" spans="1:12" x14ac:dyDescent="0.2">
      <c r="B10" s="63" t="s">
        <v>3</v>
      </c>
      <c r="C10" s="72">
        <v>7.3657136052799775E-3</v>
      </c>
      <c r="E10" s="70"/>
      <c r="K10" s="64"/>
      <c r="L10" s="64"/>
    </row>
    <row r="11" spans="1:12" x14ac:dyDescent="0.2">
      <c r="B11" s="63" t="s">
        <v>4</v>
      </c>
      <c r="C11" s="72">
        <v>-1.4420525786530576</v>
      </c>
    </row>
    <row r="13" spans="1:12" x14ac:dyDescent="0.2">
      <c r="C13" s="68" t="s">
        <v>6</v>
      </c>
      <c r="D13" s="68"/>
    </row>
    <row r="14" spans="1:12" x14ac:dyDescent="0.2">
      <c r="B14" s="63" t="s">
        <v>0</v>
      </c>
      <c r="C14" s="73">
        <f>C8+(C2*C9)+(C2*C2*C10)+(C3*C11)</f>
        <v>49.237022844579108</v>
      </c>
      <c r="D14" s="74">
        <f>LOG10(C14)</f>
        <v>1.692291785094773</v>
      </c>
      <c r="E14" s="70" t="s">
        <v>72</v>
      </c>
      <c r="F14" s="75"/>
      <c r="G14" s="75"/>
      <c r="H14" s="76"/>
    </row>
    <row r="15" spans="1:12" x14ac:dyDescent="0.2">
      <c r="B15" s="63" t="s">
        <v>9</v>
      </c>
      <c r="C15" s="66">
        <f>C11*(C3-C17)</f>
        <v>18.345612649051869</v>
      </c>
      <c r="D15" s="74" t="e">
        <f>LOG10(C5)</f>
        <v>#NUM!</v>
      </c>
      <c r="E15" s="63" t="s">
        <v>73</v>
      </c>
      <c r="H15" s="63" t="s">
        <v>71</v>
      </c>
    </row>
    <row r="16" spans="1:12" x14ac:dyDescent="0.2">
      <c r="D16" s="74" t="e">
        <f>D14-D15</f>
        <v>#NUM!</v>
      </c>
      <c r="E16" s="63" t="s">
        <v>74</v>
      </c>
      <c r="G16" s="63" t="s">
        <v>88</v>
      </c>
      <c r="H16" s="227" t="e">
        <f>_xlfn.NORM.DIST(D16,H8,H9,TRUE)*100</f>
        <v>#NUM!</v>
      </c>
    </row>
    <row r="17" spans="1:15" x14ac:dyDescent="0.2">
      <c r="B17" s="63" t="s">
        <v>14</v>
      </c>
      <c r="C17" s="59">
        <v>12.721875000000001</v>
      </c>
      <c r="G17" s="63" t="s">
        <v>89</v>
      </c>
      <c r="H17" s="67" t="e">
        <f>_xlfn.NORM.S.INV(H16/100)</f>
        <v>#NUM!</v>
      </c>
      <c r="I17" s="63" t="s">
        <v>135</v>
      </c>
    </row>
    <row r="18" spans="1:15" x14ac:dyDescent="0.2">
      <c r="C18" s="66"/>
    </row>
    <row r="19" spans="1:15" x14ac:dyDescent="0.2">
      <c r="B19" s="335" t="s">
        <v>127</v>
      </c>
      <c r="C19" s="63" t="s">
        <v>196</v>
      </c>
      <c r="M19" s="77" t="s">
        <v>79</v>
      </c>
      <c r="N19" s="77" t="s">
        <v>80</v>
      </c>
    </row>
    <row r="20" spans="1:15" x14ac:dyDescent="0.2">
      <c r="A20" s="87"/>
      <c r="B20" s="87"/>
      <c r="C20" s="88"/>
      <c r="D20" s="88"/>
      <c r="E20" s="89"/>
      <c r="F20" s="88"/>
      <c r="G20" s="88"/>
      <c r="H20" s="87"/>
      <c r="K20" s="60" t="s">
        <v>75</v>
      </c>
      <c r="L20" s="60" t="s">
        <v>15</v>
      </c>
      <c r="M20" s="79" t="s">
        <v>77</v>
      </c>
      <c r="N20" s="79" t="s">
        <v>78</v>
      </c>
      <c r="O20" s="62" t="s">
        <v>76</v>
      </c>
    </row>
    <row r="21" spans="1:15" x14ac:dyDescent="0.2">
      <c r="A21" s="87"/>
      <c r="B21" s="87"/>
      <c r="C21" s="90"/>
      <c r="D21" s="91"/>
      <c r="E21" s="91"/>
      <c r="F21" s="91"/>
      <c r="G21" s="91"/>
      <c r="H21" s="87"/>
      <c r="J21" s="63">
        <v>1</v>
      </c>
      <c r="K21" s="84">
        <v>24.5</v>
      </c>
      <c r="L21" s="56" t="s">
        <v>38</v>
      </c>
      <c r="M21" s="80">
        <v>20</v>
      </c>
      <c r="N21" s="80">
        <v>1</v>
      </c>
      <c r="O21" s="61">
        <v>0.10607612477275327</v>
      </c>
    </row>
    <row r="22" spans="1:15" x14ac:dyDescent="0.2">
      <c r="A22" s="87"/>
      <c r="B22" s="87"/>
      <c r="C22" s="90"/>
      <c r="D22" s="91"/>
      <c r="E22" s="91"/>
      <c r="F22" s="91"/>
      <c r="G22" s="91"/>
      <c r="H22" s="87"/>
      <c r="J22" s="63">
        <v>2</v>
      </c>
      <c r="K22" s="84">
        <v>34.5</v>
      </c>
      <c r="L22" s="56" t="s">
        <v>39</v>
      </c>
      <c r="M22" s="80">
        <v>30</v>
      </c>
      <c r="N22" s="80">
        <v>2</v>
      </c>
      <c r="O22" s="61">
        <v>0.14137006999705248</v>
      </c>
    </row>
    <row r="23" spans="1:15" x14ac:dyDescent="0.2">
      <c r="A23" s="87"/>
      <c r="B23" s="87"/>
      <c r="C23" s="90"/>
      <c r="D23" s="91"/>
      <c r="E23" s="91"/>
      <c r="F23" s="91"/>
      <c r="G23" s="91"/>
      <c r="H23" s="87"/>
      <c r="J23" s="63">
        <v>3</v>
      </c>
      <c r="K23" s="84">
        <v>44.5</v>
      </c>
      <c r="L23" s="56" t="s">
        <v>40</v>
      </c>
      <c r="M23" s="80">
        <v>40</v>
      </c>
      <c r="N23" s="80">
        <v>3</v>
      </c>
      <c r="O23" s="61">
        <v>0.17266392365289637</v>
      </c>
    </row>
    <row r="24" spans="1:15" x14ac:dyDescent="0.2">
      <c r="A24" s="87"/>
      <c r="B24" s="87"/>
      <c r="C24" s="90"/>
      <c r="D24" s="91"/>
      <c r="E24" s="91"/>
      <c r="F24" s="91"/>
      <c r="G24" s="91"/>
      <c r="H24" s="87"/>
      <c r="J24" s="63">
        <v>4</v>
      </c>
      <c r="K24" s="84">
        <v>54.5</v>
      </c>
      <c r="L24" s="56" t="s">
        <v>41</v>
      </c>
      <c r="M24" s="80">
        <v>50</v>
      </c>
      <c r="N24" s="80">
        <v>4</v>
      </c>
      <c r="O24" s="61">
        <v>0.18498249429949135</v>
      </c>
    </row>
    <row r="25" spans="1:15" x14ac:dyDescent="0.2">
      <c r="A25" s="87"/>
      <c r="B25" s="87"/>
      <c r="C25" s="90"/>
      <c r="D25" s="91"/>
      <c r="E25" s="91"/>
      <c r="F25" s="91"/>
      <c r="G25" s="91"/>
      <c r="H25" s="87"/>
      <c r="J25" s="63">
        <v>5</v>
      </c>
      <c r="K25" s="84">
        <v>64.5</v>
      </c>
      <c r="L25" s="56" t="s">
        <v>43</v>
      </c>
      <c r="M25" s="80">
        <v>60</v>
      </c>
      <c r="N25" s="80">
        <v>5</v>
      </c>
      <c r="O25" s="61">
        <v>0.18451670069474357</v>
      </c>
    </row>
    <row r="26" spans="1:15" x14ac:dyDescent="0.2">
      <c r="A26" s="87"/>
      <c r="B26" s="87"/>
      <c r="C26" s="90"/>
      <c r="D26" s="91"/>
      <c r="E26" s="91"/>
      <c r="F26" s="91"/>
      <c r="G26" s="91"/>
      <c r="H26" s="87"/>
      <c r="J26" s="63">
        <v>6</v>
      </c>
      <c r="K26" s="84">
        <v>74.5</v>
      </c>
      <c r="L26" s="56" t="s">
        <v>53</v>
      </c>
      <c r="M26" s="80">
        <v>70</v>
      </c>
      <c r="N26" s="80">
        <v>6</v>
      </c>
      <c r="O26" s="61">
        <v>0.18979458794996634</v>
      </c>
    </row>
    <row r="27" spans="1:15" x14ac:dyDescent="0.2">
      <c r="A27" s="87"/>
      <c r="B27" s="87"/>
      <c r="C27" s="87"/>
      <c r="D27" s="87"/>
      <c r="E27" s="87"/>
      <c r="F27" s="87"/>
      <c r="G27" s="87"/>
      <c r="H27" s="87"/>
      <c r="J27" s="63">
        <v>7</v>
      </c>
      <c r="K27" s="85">
        <v>82</v>
      </c>
      <c r="L27" s="86" t="s">
        <v>42</v>
      </c>
      <c r="M27" s="80">
        <v>80</v>
      </c>
      <c r="N27" s="80">
        <v>7</v>
      </c>
      <c r="O27" s="61">
        <v>0.17808460092789258</v>
      </c>
    </row>
    <row r="28" spans="1:15" x14ac:dyDescent="0.2">
      <c r="A28" s="87"/>
      <c r="B28" s="87"/>
      <c r="C28" s="92"/>
      <c r="D28" s="87"/>
      <c r="E28" s="87"/>
      <c r="F28" s="87"/>
      <c r="G28" s="87"/>
      <c r="H28" s="87"/>
      <c r="K28" s="81"/>
      <c r="L28" s="81"/>
      <c r="M28" s="82"/>
      <c r="N28" s="82"/>
      <c r="O28" s="83"/>
    </row>
    <row r="29" spans="1:15" x14ac:dyDescent="0.2">
      <c r="A29" s="87"/>
      <c r="B29" s="87"/>
      <c r="C29" s="87"/>
      <c r="D29" s="87"/>
      <c r="E29" s="87"/>
      <c r="F29" s="87"/>
      <c r="G29" s="87"/>
      <c r="H29" s="87"/>
      <c r="K29" s="81"/>
      <c r="L29" s="81"/>
      <c r="M29" s="82"/>
      <c r="N29" s="82"/>
      <c r="O29" s="83"/>
    </row>
    <row r="30" spans="1:15" x14ac:dyDescent="0.2">
      <c r="A30" s="87"/>
      <c r="B30" s="87"/>
      <c r="C30" s="93"/>
      <c r="D30" s="94"/>
      <c r="E30" s="93"/>
      <c r="F30" s="87"/>
      <c r="G30" s="87"/>
      <c r="H30" s="87"/>
      <c r="O30" s="78"/>
    </row>
    <row r="31" spans="1:15" x14ac:dyDescent="0.2">
      <c r="A31" s="87"/>
      <c r="B31" s="87"/>
      <c r="C31" s="90"/>
      <c r="D31" s="95"/>
      <c r="E31" s="95"/>
      <c r="F31" s="87"/>
      <c r="G31" s="87"/>
      <c r="H31" s="87"/>
      <c r="K31" s="63" t="s">
        <v>44</v>
      </c>
      <c r="M31" s="63" t="e">
        <f>VLOOKUP(C2,limit_A,2,TRUE)</f>
        <v>#N/A</v>
      </c>
    </row>
    <row r="32" spans="1:15" x14ac:dyDescent="0.2">
      <c r="A32" s="87"/>
      <c r="B32" s="87"/>
      <c r="C32" s="90"/>
      <c r="D32" s="95"/>
      <c r="E32" s="95"/>
      <c r="F32" s="87"/>
      <c r="G32" s="87"/>
      <c r="H32" s="87"/>
    </row>
    <row r="33" spans="1:8" x14ac:dyDescent="0.2">
      <c r="A33" s="87"/>
      <c r="B33" s="87"/>
      <c r="C33" s="90"/>
      <c r="D33" s="95"/>
      <c r="E33" s="95"/>
      <c r="F33" s="87"/>
      <c r="G33" s="87"/>
      <c r="H33" s="87"/>
    </row>
    <row r="34" spans="1:8" x14ac:dyDescent="0.2">
      <c r="A34" s="87"/>
      <c r="B34" s="87"/>
      <c r="C34" s="90"/>
      <c r="D34" s="95"/>
      <c r="E34" s="95"/>
      <c r="F34" s="87"/>
      <c r="G34" s="87"/>
      <c r="H34" s="87"/>
    </row>
    <row r="35" spans="1:8" x14ac:dyDescent="0.2">
      <c r="A35" s="87"/>
      <c r="B35" s="96"/>
      <c r="C35" s="90"/>
      <c r="D35" s="95"/>
      <c r="E35" s="95"/>
      <c r="F35" s="87"/>
      <c r="G35" s="87"/>
      <c r="H35" s="87"/>
    </row>
    <row r="36" spans="1:8" x14ac:dyDescent="0.2">
      <c r="A36" s="87"/>
      <c r="B36" s="87"/>
      <c r="C36" s="90"/>
      <c r="D36" s="95"/>
      <c r="E36" s="95"/>
      <c r="F36" s="87"/>
      <c r="G36" s="87"/>
      <c r="H36" s="87"/>
    </row>
    <row r="37" spans="1:8" x14ac:dyDescent="0.2">
      <c r="A37" s="87"/>
      <c r="B37" s="87"/>
      <c r="C37" s="87"/>
      <c r="D37" s="87"/>
      <c r="E37" s="87"/>
      <c r="F37" s="87"/>
      <c r="G37" s="87"/>
      <c r="H37" s="87"/>
    </row>
    <row r="38" spans="1:8" x14ac:dyDescent="0.2">
      <c r="A38" s="87"/>
      <c r="B38" s="87"/>
      <c r="C38" s="87"/>
      <c r="D38" s="87"/>
      <c r="E38" s="87"/>
      <c r="F38" s="87"/>
      <c r="G38" s="87"/>
      <c r="H38" s="87"/>
    </row>
    <row r="39" spans="1:8" x14ac:dyDescent="0.2">
      <c r="A39" s="87"/>
      <c r="B39" s="87"/>
      <c r="C39" s="97"/>
      <c r="D39" s="97"/>
      <c r="E39" s="97"/>
      <c r="F39" s="87"/>
      <c r="G39" s="87"/>
      <c r="H39" s="87"/>
    </row>
    <row r="40" spans="1:8" ht="21.75" customHeight="1" x14ac:dyDescent="0.2">
      <c r="A40" s="87"/>
      <c r="B40" s="87"/>
      <c r="C40" s="98"/>
      <c r="D40" s="99"/>
      <c r="E40" s="100"/>
      <c r="F40" s="87"/>
      <c r="G40" s="87"/>
      <c r="H40" s="87"/>
    </row>
    <row r="41" spans="1:8" x14ac:dyDescent="0.2">
      <c r="A41" s="87"/>
      <c r="B41" s="87"/>
      <c r="C41" s="87"/>
      <c r="D41" s="87"/>
      <c r="E41" s="87"/>
      <c r="F41" s="87"/>
      <c r="G41" s="87"/>
      <c r="H41" s="87"/>
    </row>
    <row r="42" spans="1:8" x14ac:dyDescent="0.2">
      <c r="A42" s="87"/>
      <c r="B42" s="87"/>
      <c r="C42" s="87"/>
      <c r="D42" s="87"/>
      <c r="E42" s="87"/>
      <c r="F42" s="87"/>
      <c r="G42" s="87"/>
      <c r="H42" s="87"/>
    </row>
    <row r="43" spans="1:8" x14ac:dyDescent="0.2">
      <c r="A43" s="87"/>
      <c r="B43" s="87"/>
      <c r="C43" s="87"/>
      <c r="D43" s="87"/>
      <c r="E43" s="87"/>
      <c r="F43" s="87"/>
      <c r="G43" s="87"/>
      <c r="H43" s="87"/>
    </row>
    <row r="44" spans="1:8" x14ac:dyDescent="0.2">
      <c r="A44" s="87"/>
      <c r="B44" s="87"/>
      <c r="C44" s="101"/>
      <c r="D44" s="101"/>
      <c r="E44" s="87"/>
      <c r="F44" s="87"/>
      <c r="G44" s="87"/>
      <c r="H44" s="87"/>
    </row>
    <row r="45" spans="1:8" x14ac:dyDescent="0.2">
      <c r="A45" s="87"/>
      <c r="B45" s="87"/>
      <c r="C45" s="87"/>
      <c r="D45" s="102"/>
      <c r="E45" s="87"/>
      <c r="F45" s="87"/>
      <c r="G45" s="87"/>
      <c r="H45" s="87"/>
    </row>
    <row r="46" spans="1:8" x14ac:dyDescent="0.2">
      <c r="A46" s="87"/>
      <c r="B46" s="87"/>
      <c r="C46" s="87"/>
      <c r="D46" s="103"/>
      <c r="E46" s="87"/>
      <c r="F46" s="87"/>
      <c r="G46" s="87"/>
      <c r="H46" s="87"/>
    </row>
    <row r="47" spans="1:8" x14ac:dyDescent="0.2">
      <c r="A47" s="87"/>
      <c r="B47" s="87"/>
      <c r="C47" s="87"/>
      <c r="D47" s="103"/>
      <c r="E47" s="87"/>
      <c r="F47" s="87"/>
      <c r="G47" s="87"/>
      <c r="H47" s="87"/>
    </row>
    <row r="48" spans="1:8" x14ac:dyDescent="0.2">
      <c r="A48" s="87"/>
      <c r="B48" s="87"/>
      <c r="C48" s="87"/>
      <c r="D48" s="103"/>
      <c r="E48" s="87"/>
      <c r="F48" s="87"/>
      <c r="G48" s="87"/>
      <c r="H48" s="87"/>
    </row>
    <row r="49" spans="1:8" x14ac:dyDescent="0.2">
      <c r="A49" s="87"/>
      <c r="B49" s="87"/>
      <c r="C49" s="87"/>
      <c r="D49" s="103"/>
      <c r="E49" s="87"/>
      <c r="F49" s="87"/>
      <c r="G49" s="87"/>
      <c r="H49" s="87"/>
    </row>
    <row r="50" spans="1:8" x14ac:dyDescent="0.2">
      <c r="A50" s="87"/>
      <c r="B50" s="87"/>
      <c r="C50" s="87"/>
      <c r="D50" s="103"/>
      <c r="E50" s="87"/>
      <c r="F50" s="87"/>
      <c r="G50" s="87"/>
      <c r="H50" s="87"/>
    </row>
    <row r="51" spans="1:8" x14ac:dyDescent="0.2">
      <c r="A51" s="87"/>
      <c r="B51" s="87"/>
      <c r="C51" s="87"/>
      <c r="D51" s="103"/>
      <c r="E51" s="87"/>
      <c r="F51" s="87"/>
      <c r="G51" s="87"/>
      <c r="H51" s="87"/>
    </row>
    <row r="52" spans="1:8" x14ac:dyDescent="0.2">
      <c r="A52" s="87"/>
      <c r="B52" s="87"/>
      <c r="C52" s="87"/>
      <c r="D52" s="103"/>
      <c r="E52" s="87"/>
      <c r="F52" s="87"/>
      <c r="G52" s="87"/>
      <c r="H52" s="87"/>
    </row>
    <row r="53" spans="1:8" x14ac:dyDescent="0.2">
      <c r="A53" s="87"/>
      <c r="B53" s="87"/>
      <c r="C53" s="87"/>
      <c r="D53" s="103"/>
      <c r="E53" s="87"/>
      <c r="F53" s="87"/>
      <c r="G53" s="87"/>
      <c r="H53" s="87"/>
    </row>
    <row r="54" spans="1:8" x14ac:dyDescent="0.2">
      <c r="A54" s="87"/>
      <c r="B54" s="87"/>
      <c r="C54" s="87"/>
      <c r="D54" s="103"/>
      <c r="E54" s="87"/>
      <c r="F54" s="87"/>
      <c r="G54" s="87"/>
      <c r="H54" s="87"/>
    </row>
    <row r="55" spans="1:8" x14ac:dyDescent="0.2">
      <c r="A55" s="87"/>
      <c r="B55" s="87"/>
      <c r="C55" s="87"/>
      <c r="D55" s="103"/>
      <c r="E55" s="87"/>
      <c r="F55" s="87"/>
      <c r="G55" s="87"/>
      <c r="H55" s="87"/>
    </row>
    <row r="56" spans="1:8" x14ac:dyDescent="0.2">
      <c r="A56" s="87"/>
      <c r="B56" s="87"/>
      <c r="C56" s="87"/>
      <c r="D56" s="103"/>
      <c r="E56" s="87"/>
      <c r="F56" s="87"/>
      <c r="G56" s="87"/>
      <c r="H56" s="87"/>
    </row>
    <row r="57" spans="1:8" x14ac:dyDescent="0.2">
      <c r="A57" s="87"/>
      <c r="B57" s="87"/>
      <c r="C57" s="87"/>
      <c r="D57" s="103"/>
      <c r="E57" s="87"/>
      <c r="F57" s="87"/>
      <c r="G57" s="87"/>
      <c r="H57" s="87"/>
    </row>
    <row r="58" spans="1:8" x14ac:dyDescent="0.2">
      <c r="A58" s="87"/>
      <c r="B58" s="87"/>
      <c r="C58" s="87"/>
      <c r="D58" s="103"/>
      <c r="E58" s="87"/>
      <c r="F58" s="87"/>
      <c r="G58" s="87"/>
      <c r="H58" s="87"/>
    </row>
    <row r="59" spans="1:8" x14ac:dyDescent="0.2">
      <c r="A59" s="87"/>
      <c r="B59" s="87"/>
      <c r="C59" s="87"/>
      <c r="D59" s="103"/>
      <c r="E59" s="87"/>
      <c r="F59" s="87"/>
      <c r="G59" s="87"/>
      <c r="H59" s="87"/>
    </row>
    <row r="60" spans="1:8" x14ac:dyDescent="0.2">
      <c r="A60" s="87"/>
      <c r="B60" s="87"/>
      <c r="C60" s="87"/>
      <c r="D60" s="103"/>
      <c r="E60" s="87"/>
      <c r="F60" s="87"/>
      <c r="G60" s="87"/>
      <c r="H60" s="87"/>
    </row>
    <row r="61" spans="1:8" x14ac:dyDescent="0.2">
      <c r="A61" s="87"/>
      <c r="B61" s="87"/>
      <c r="C61" s="87"/>
      <c r="D61" s="103"/>
      <c r="E61" s="87"/>
      <c r="F61" s="87"/>
      <c r="G61" s="87"/>
      <c r="H61" s="87"/>
    </row>
    <row r="62" spans="1:8" x14ac:dyDescent="0.2">
      <c r="A62" s="87"/>
      <c r="B62" s="87"/>
      <c r="C62" s="87"/>
      <c r="D62" s="103"/>
      <c r="E62" s="87"/>
      <c r="F62" s="87"/>
      <c r="G62" s="87"/>
      <c r="H62" s="87"/>
    </row>
    <row r="63" spans="1:8" x14ac:dyDescent="0.2">
      <c r="A63" s="87"/>
      <c r="B63" s="87"/>
      <c r="C63" s="87"/>
      <c r="D63" s="103"/>
      <c r="E63" s="87"/>
      <c r="F63" s="87"/>
      <c r="G63" s="87"/>
      <c r="H63" s="87"/>
    </row>
    <row r="64" spans="1:8" x14ac:dyDescent="0.2">
      <c r="A64" s="87"/>
      <c r="B64" s="87"/>
      <c r="C64" s="87"/>
      <c r="D64" s="103"/>
      <c r="E64" s="87"/>
      <c r="F64" s="87"/>
      <c r="G64" s="87"/>
      <c r="H64" s="87"/>
    </row>
    <row r="65" spans="1:8" x14ac:dyDescent="0.2">
      <c r="A65" s="87"/>
      <c r="B65" s="87"/>
      <c r="C65" s="87"/>
      <c r="D65" s="103"/>
      <c r="E65" s="87"/>
      <c r="F65" s="87"/>
      <c r="G65" s="87"/>
      <c r="H65" s="87"/>
    </row>
    <row r="66" spans="1:8" x14ac:dyDescent="0.2">
      <c r="A66" s="87"/>
      <c r="B66" s="87"/>
      <c r="C66" s="87"/>
      <c r="D66" s="103"/>
      <c r="E66" s="87"/>
      <c r="F66" s="87"/>
      <c r="G66" s="87"/>
      <c r="H66" s="87"/>
    </row>
    <row r="67" spans="1:8" x14ac:dyDescent="0.2">
      <c r="A67" s="87"/>
      <c r="B67" s="87"/>
      <c r="C67" s="87"/>
      <c r="D67" s="103"/>
      <c r="E67" s="87"/>
      <c r="F67" s="87"/>
      <c r="G67" s="87"/>
      <c r="H67" s="87"/>
    </row>
    <row r="68" spans="1:8" x14ac:dyDescent="0.2">
      <c r="A68" s="87"/>
      <c r="B68" s="87"/>
      <c r="C68" s="87"/>
      <c r="D68" s="103"/>
      <c r="E68" s="87"/>
      <c r="F68" s="87"/>
      <c r="G68" s="87"/>
      <c r="H68" s="87"/>
    </row>
    <row r="69" spans="1:8" x14ac:dyDescent="0.2">
      <c r="A69" s="87"/>
      <c r="B69" s="87"/>
      <c r="C69" s="87"/>
      <c r="D69" s="87"/>
      <c r="E69" s="87"/>
      <c r="F69" s="87"/>
      <c r="G69" s="87"/>
      <c r="H69" s="87"/>
    </row>
    <row r="70" spans="1:8" x14ac:dyDescent="0.2">
      <c r="A70" s="87"/>
      <c r="B70" s="87"/>
      <c r="C70" s="87"/>
      <c r="D70" s="87"/>
      <c r="E70" s="87"/>
      <c r="F70" s="87"/>
      <c r="G70" s="87"/>
      <c r="H70" s="87"/>
    </row>
    <row r="71" spans="1:8" x14ac:dyDescent="0.2">
      <c r="A71" s="87"/>
      <c r="B71" s="87"/>
      <c r="C71" s="87"/>
      <c r="D71" s="87"/>
      <c r="E71" s="87"/>
      <c r="F71" s="87"/>
      <c r="G71" s="87"/>
      <c r="H71" s="87"/>
    </row>
    <row r="173" spans="11:11" x14ac:dyDescent="0.2">
      <c r="K173" s="53" t="s">
        <v>68</v>
      </c>
    </row>
    <row r="174" spans="11:11" x14ac:dyDescent="0.2">
      <c r="K174" s="53" t="s">
        <v>68</v>
      </c>
    </row>
    <row r="175" spans="11:11" x14ac:dyDescent="0.2">
      <c r="K175" s="53" t="s">
        <v>68</v>
      </c>
    </row>
    <row r="176" spans="11:11" x14ac:dyDescent="0.2">
      <c r="K176" s="53" t="s">
        <v>68</v>
      </c>
    </row>
    <row r="177" spans="11:11" x14ac:dyDescent="0.2">
      <c r="K177" s="53" t="s">
        <v>68</v>
      </c>
    </row>
    <row r="178" spans="11:11" x14ac:dyDescent="0.2">
      <c r="K178" s="53" t="s">
        <v>68</v>
      </c>
    </row>
    <row r="179" spans="11:11" x14ac:dyDescent="0.2">
      <c r="K179" s="53" t="s">
        <v>68</v>
      </c>
    </row>
    <row r="180" spans="11:11" x14ac:dyDescent="0.2">
      <c r="K180" s="53" t="s">
        <v>68</v>
      </c>
    </row>
    <row r="181" spans="11:11" x14ac:dyDescent="0.2">
      <c r="K181" s="53" t="s">
        <v>68</v>
      </c>
    </row>
    <row r="182" spans="11:11" x14ac:dyDescent="0.2">
      <c r="K182" s="53" t="s">
        <v>68</v>
      </c>
    </row>
    <row r="183" spans="11:11" x14ac:dyDescent="0.2">
      <c r="K183" s="53" t="s">
        <v>68</v>
      </c>
    </row>
  </sheetData>
  <sortState xmlns:xlrd2="http://schemas.microsoft.com/office/spreadsheetml/2017/richdata2" ref="C45:D68">
    <sortCondition ref="C45:C68"/>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8"/>
  <sheetViews>
    <sheetView workbookViewId="0">
      <selection activeCell="H22" sqref="H22"/>
    </sheetView>
  </sheetViews>
  <sheetFormatPr defaultRowHeight="12.75" x14ac:dyDescent="0.2"/>
  <cols>
    <col min="1" max="1" width="9.140625" style="5"/>
    <col min="2" max="2" width="36.42578125" style="5" customWidth="1"/>
    <col min="3" max="3" width="9.140625" style="5"/>
    <col min="4" max="4" width="15.28515625" style="5" customWidth="1"/>
    <col min="5" max="5" width="16.42578125" style="5" customWidth="1"/>
    <col min="6" max="11" width="9.140625" style="5"/>
    <col min="12" max="19" width="9.140625" style="113"/>
    <col min="20" max="20" width="9.140625" style="157"/>
    <col min="21" max="22" width="9.140625" style="113"/>
    <col min="23" max="16384" width="9.140625" style="5"/>
  </cols>
  <sheetData>
    <row r="1" spans="1:20" ht="18" x14ac:dyDescent="0.25">
      <c r="A1" s="27" t="s">
        <v>45</v>
      </c>
      <c r="D1" s="112"/>
      <c r="E1" s="112"/>
      <c r="F1" s="112"/>
      <c r="G1" s="112"/>
      <c r="H1" s="112"/>
      <c r="I1" s="112"/>
      <c r="J1" s="112"/>
      <c r="M1" s="114"/>
      <c r="N1" s="114"/>
      <c r="P1" s="115"/>
      <c r="Q1" s="115"/>
      <c r="S1" s="115"/>
      <c r="T1" s="116"/>
    </row>
    <row r="2" spans="1:20" x14ac:dyDescent="0.2">
      <c r="B2" s="346" t="s">
        <v>15</v>
      </c>
      <c r="C2" s="347">
        <f>forside!B8</f>
        <v>0</v>
      </c>
      <c r="D2" s="112"/>
      <c r="E2" s="112"/>
      <c r="F2" s="112"/>
      <c r="G2" s="112"/>
      <c r="H2" s="112"/>
      <c r="I2" s="112"/>
      <c r="J2" s="112"/>
      <c r="M2" s="118"/>
      <c r="N2" s="118"/>
      <c r="P2" s="118"/>
      <c r="Q2" s="118"/>
      <c r="S2" s="119"/>
      <c r="T2" s="120"/>
    </row>
    <row r="3" spans="1:20" x14ac:dyDescent="0.2">
      <c r="B3" s="217" t="s">
        <v>16</v>
      </c>
      <c r="C3" s="348">
        <f>forside!B11</f>
        <v>0</v>
      </c>
      <c r="D3" s="112"/>
      <c r="E3" s="121"/>
      <c r="F3" s="112"/>
      <c r="G3" s="112"/>
      <c r="H3" s="112"/>
      <c r="I3" s="112"/>
      <c r="J3" s="112"/>
      <c r="M3" s="118"/>
      <c r="N3" s="118"/>
      <c r="P3" s="118"/>
      <c r="Q3" s="118"/>
      <c r="S3" s="118"/>
      <c r="T3" s="122"/>
    </row>
    <row r="4" spans="1:20" x14ac:dyDescent="0.2">
      <c r="B4" s="217"/>
      <c r="C4" s="349"/>
      <c r="D4" s="109"/>
      <c r="E4" s="112"/>
      <c r="F4" s="112"/>
      <c r="G4" s="112"/>
      <c r="H4" s="112" t="s">
        <v>86</v>
      </c>
      <c r="I4" s="112" t="s">
        <v>87</v>
      </c>
      <c r="J4" s="112"/>
      <c r="M4" s="118"/>
      <c r="N4" s="118"/>
      <c r="P4" s="118"/>
      <c r="Q4" s="118"/>
      <c r="S4" s="118"/>
      <c r="T4" s="122"/>
    </row>
    <row r="5" spans="1:20" x14ac:dyDescent="0.2">
      <c r="B5" s="350" t="s">
        <v>17</v>
      </c>
      <c r="C5" s="351">
        <f>forside!B17</f>
        <v>0</v>
      </c>
      <c r="D5" s="123" t="s">
        <v>81</v>
      </c>
      <c r="E5" s="124" t="e">
        <f>LOG10(C5)</f>
        <v>#NUM!</v>
      </c>
      <c r="F5" s="112"/>
      <c r="G5" s="125" t="s">
        <v>15</v>
      </c>
      <c r="H5" s="126" t="s">
        <v>77</v>
      </c>
      <c r="I5" s="126" t="s">
        <v>85</v>
      </c>
      <c r="J5" s="127" t="s">
        <v>76</v>
      </c>
      <c r="M5" s="118"/>
      <c r="N5" s="118"/>
      <c r="P5" s="118"/>
      <c r="Q5" s="118"/>
      <c r="S5" s="118"/>
      <c r="T5" s="122"/>
    </row>
    <row r="6" spans="1:20" x14ac:dyDescent="0.2">
      <c r="D6" s="112"/>
      <c r="E6" s="124"/>
      <c r="F6" s="112"/>
      <c r="G6" s="128" t="s">
        <v>38</v>
      </c>
      <c r="H6" s="129">
        <v>20</v>
      </c>
      <c r="I6" s="129">
        <v>1</v>
      </c>
      <c r="J6" s="128">
        <v>9.4215622374712163E-2</v>
      </c>
      <c r="M6" s="118"/>
      <c r="N6" s="118"/>
      <c r="P6" s="118"/>
      <c r="Q6" s="118"/>
      <c r="S6" s="118"/>
      <c r="T6" s="122"/>
    </row>
    <row r="7" spans="1:20" x14ac:dyDescent="0.2">
      <c r="B7" s="1" t="s">
        <v>5</v>
      </c>
      <c r="D7" s="112"/>
      <c r="E7" s="110"/>
      <c r="F7" s="112"/>
      <c r="G7" s="128" t="s">
        <v>39</v>
      </c>
      <c r="H7" s="129">
        <v>30</v>
      </c>
      <c r="I7" s="129">
        <v>2</v>
      </c>
      <c r="J7" s="128">
        <v>0.1324811810092156</v>
      </c>
      <c r="M7" s="118"/>
      <c r="N7" s="118"/>
      <c r="P7" s="118"/>
      <c r="Q7" s="118"/>
      <c r="S7" s="118"/>
      <c r="T7" s="122"/>
    </row>
    <row r="8" spans="1:20" x14ac:dyDescent="0.2">
      <c r="B8" s="5" t="s">
        <v>1</v>
      </c>
      <c r="C8" s="7">
        <v>118.73464090022199</v>
      </c>
      <c r="D8" s="112"/>
      <c r="E8" s="124"/>
      <c r="F8" s="130"/>
      <c r="G8" s="128" t="s">
        <v>40</v>
      </c>
      <c r="H8" s="129">
        <v>40</v>
      </c>
      <c r="I8" s="129">
        <v>3</v>
      </c>
      <c r="J8" s="128">
        <v>0.14882552613424174</v>
      </c>
      <c r="M8" s="118"/>
      <c r="N8" s="118"/>
      <c r="P8" s="118"/>
      <c r="Q8" s="118"/>
      <c r="S8" s="118"/>
      <c r="T8" s="122"/>
    </row>
    <row r="9" spans="1:20" x14ac:dyDescent="0.2">
      <c r="B9" s="5" t="s">
        <v>2</v>
      </c>
      <c r="C9" s="7">
        <v>-0.75267100913633678</v>
      </c>
      <c r="D9" s="112"/>
      <c r="E9" s="124"/>
      <c r="F9" s="130"/>
      <c r="G9" s="128" t="s">
        <v>41</v>
      </c>
      <c r="H9" s="129">
        <v>50</v>
      </c>
      <c r="I9" s="129">
        <v>4</v>
      </c>
      <c r="J9" s="128">
        <v>0.15249802733670989</v>
      </c>
      <c r="M9" s="118"/>
      <c r="N9" s="118"/>
      <c r="P9" s="118"/>
      <c r="Q9" s="131"/>
      <c r="S9" s="118"/>
      <c r="T9" s="122"/>
    </row>
    <row r="10" spans="1:20" x14ac:dyDescent="0.2">
      <c r="B10" s="5" t="s">
        <v>3</v>
      </c>
      <c r="C10" s="7">
        <v>1.6811814226587944E-2</v>
      </c>
      <c r="D10" s="112"/>
      <c r="E10" s="124"/>
      <c r="F10" s="130"/>
      <c r="G10" s="128" t="s">
        <v>43</v>
      </c>
      <c r="H10" s="129">
        <v>60</v>
      </c>
      <c r="I10" s="129">
        <v>5</v>
      </c>
      <c r="J10" s="128">
        <v>0.15687358530773632</v>
      </c>
      <c r="M10" s="118"/>
      <c r="N10" s="118"/>
      <c r="P10" s="118"/>
      <c r="Q10" s="131"/>
      <c r="S10" s="118"/>
      <c r="T10" s="122"/>
    </row>
    <row r="11" spans="1:20" x14ac:dyDescent="0.2">
      <c r="B11" s="5" t="s">
        <v>4</v>
      </c>
      <c r="C11" s="7">
        <v>-3.7111093907403427</v>
      </c>
      <c r="D11" s="112"/>
      <c r="E11" s="124"/>
      <c r="F11" s="109"/>
      <c r="G11" s="128" t="s">
        <v>53</v>
      </c>
      <c r="H11" s="129">
        <v>70</v>
      </c>
      <c r="I11" s="129">
        <v>6</v>
      </c>
      <c r="J11" s="128">
        <v>0.15459418310939835</v>
      </c>
      <c r="M11" s="118"/>
      <c r="N11" s="118"/>
      <c r="P11" s="118"/>
      <c r="Q11" s="131"/>
      <c r="S11" s="118"/>
      <c r="T11" s="122"/>
    </row>
    <row r="12" spans="1:20" x14ac:dyDescent="0.2">
      <c r="D12" s="112"/>
      <c r="E12" s="124"/>
      <c r="F12" s="112"/>
      <c r="G12" s="128" t="s">
        <v>42</v>
      </c>
      <c r="H12" s="129">
        <v>80</v>
      </c>
      <c r="I12" s="129">
        <v>7</v>
      </c>
      <c r="J12" s="128">
        <v>0.15780203512101523</v>
      </c>
      <c r="M12" s="118"/>
      <c r="N12" s="118"/>
      <c r="P12" s="118"/>
      <c r="Q12" s="131"/>
      <c r="S12" s="118"/>
      <c r="T12" s="122"/>
    </row>
    <row r="13" spans="1:20" x14ac:dyDescent="0.2">
      <c r="C13" s="1" t="s">
        <v>6</v>
      </c>
      <c r="D13" s="1"/>
      <c r="E13" s="132"/>
      <c r="G13" s="133"/>
      <c r="M13" s="118"/>
      <c r="N13" s="118"/>
      <c r="P13" s="118"/>
      <c r="Q13" s="131"/>
      <c r="S13" s="118"/>
      <c r="T13" s="122"/>
    </row>
    <row r="14" spans="1:20" x14ac:dyDescent="0.2">
      <c r="B14" s="5" t="s">
        <v>0</v>
      </c>
      <c r="C14" s="9">
        <f>C8+(C2*C9)+(C2*C2*C10)+(C3*C11)</f>
        <v>118.73464090022199</v>
      </c>
      <c r="D14" s="134" t="s">
        <v>82</v>
      </c>
      <c r="E14" s="124">
        <f>LOG10(C14)</f>
        <v>2.0745774431079353</v>
      </c>
      <c r="F14" s="112"/>
      <c r="G14" s="111" t="s">
        <v>84</v>
      </c>
      <c r="I14" s="5" t="e">
        <f>VLOOKUP(C2,limit_B,2,TRUE)</f>
        <v>#N/A</v>
      </c>
      <c r="M14" s="118"/>
      <c r="N14" s="118"/>
      <c r="P14" s="118"/>
      <c r="Q14" s="131"/>
      <c r="S14" s="118"/>
      <c r="T14" s="122"/>
    </row>
    <row r="15" spans="1:20" x14ac:dyDescent="0.2">
      <c r="B15" s="5" t="s">
        <v>9</v>
      </c>
      <c r="C15" s="135">
        <f>C11*(C3-C17)</f>
        <v>47.378106322795496</v>
      </c>
      <c r="D15" s="134" t="s">
        <v>83</v>
      </c>
      <c r="E15" s="124" t="e">
        <f>E14-E5</f>
        <v>#NUM!</v>
      </c>
      <c r="F15" s="112"/>
      <c r="M15" s="118"/>
      <c r="N15" s="118"/>
      <c r="P15" s="118"/>
      <c r="Q15" s="131"/>
      <c r="S15" s="118"/>
      <c r="T15" s="122"/>
    </row>
    <row r="16" spans="1:20" x14ac:dyDescent="0.2">
      <c r="E16" s="112"/>
      <c r="F16" s="112"/>
      <c r="G16" s="10" t="s">
        <v>69</v>
      </c>
      <c r="M16" s="118"/>
      <c r="N16" s="118"/>
      <c r="P16" s="118"/>
      <c r="Q16" s="131"/>
      <c r="S16" s="118"/>
      <c r="T16" s="122"/>
    </row>
    <row r="17" spans="2:20" x14ac:dyDescent="0.2">
      <c r="B17" s="5" t="s">
        <v>14</v>
      </c>
      <c r="C17" s="136">
        <v>12.766561514195589</v>
      </c>
      <c r="G17" s="5" t="s">
        <v>70</v>
      </c>
      <c r="H17" s="5">
        <v>0</v>
      </c>
      <c r="K17" s="137"/>
      <c r="L17" s="137"/>
      <c r="M17" s="118"/>
      <c r="N17" s="118"/>
      <c r="O17" s="137"/>
      <c r="P17" s="118"/>
      <c r="Q17" s="131"/>
      <c r="S17" s="118"/>
      <c r="T17" s="122"/>
    </row>
    <row r="18" spans="2:20" x14ac:dyDescent="0.2">
      <c r="C18" s="135"/>
      <c r="G18" s="5" t="s">
        <v>8</v>
      </c>
      <c r="H18" s="5" t="e">
        <f>VLOOKUP(I14,kat_B,2,TRUE)</f>
        <v>#N/A</v>
      </c>
      <c r="I18" s="5" t="s">
        <v>136</v>
      </c>
      <c r="K18" s="138"/>
      <c r="L18" s="139"/>
      <c r="M18" s="118"/>
      <c r="N18" s="118"/>
      <c r="O18" s="140"/>
      <c r="P18" s="118"/>
      <c r="Q18" s="131"/>
      <c r="S18" s="118"/>
      <c r="T18" s="122"/>
    </row>
    <row r="19" spans="2:20" s="140" customFormat="1" x14ac:dyDescent="0.2">
      <c r="B19" s="335" t="s">
        <v>127</v>
      </c>
      <c r="C19" s="63" t="s">
        <v>196</v>
      </c>
      <c r="K19" s="138"/>
      <c r="L19" s="139"/>
      <c r="M19" s="141"/>
      <c r="N19" s="141"/>
      <c r="P19" s="141"/>
      <c r="Q19" s="142"/>
      <c r="S19" s="141"/>
      <c r="T19" s="143"/>
    </row>
    <row r="20" spans="2:20" s="140" customFormat="1" x14ac:dyDescent="0.2">
      <c r="C20" s="144"/>
      <c r="D20" s="144"/>
      <c r="E20" s="145"/>
      <c r="F20" s="146"/>
      <c r="G20" s="147" t="s">
        <v>71</v>
      </c>
      <c r="H20" s="144"/>
      <c r="I20" s="144"/>
      <c r="K20" s="138"/>
      <c r="L20" s="139"/>
      <c r="M20" s="141"/>
      <c r="N20" s="141"/>
      <c r="P20" s="141"/>
      <c r="Q20" s="142"/>
      <c r="S20" s="141"/>
      <c r="T20" s="143"/>
    </row>
    <row r="21" spans="2:20" s="140" customFormat="1" x14ac:dyDescent="0.2">
      <c r="C21" s="138"/>
      <c r="D21" s="139"/>
      <c r="E21" s="148"/>
      <c r="F21" s="138"/>
      <c r="G21" s="158" t="s">
        <v>88</v>
      </c>
      <c r="H21" s="229" t="e">
        <f>_xlfn.NORM.DIST(E15,0,H18,TRUE)*100</f>
        <v>#NUM!</v>
      </c>
      <c r="I21" s="149"/>
      <c r="K21" s="138"/>
      <c r="L21" s="139"/>
      <c r="M21" s="141"/>
      <c r="N21" s="141"/>
      <c r="P21" s="141"/>
      <c r="Q21" s="142"/>
      <c r="S21" s="141"/>
      <c r="T21" s="143"/>
    </row>
    <row r="22" spans="2:20" s="140" customFormat="1" x14ac:dyDescent="0.2">
      <c r="C22" s="138"/>
      <c r="D22" s="139"/>
      <c r="E22" s="148"/>
      <c r="F22" s="138"/>
      <c r="G22" s="158" t="s">
        <v>89</v>
      </c>
      <c r="H22" s="148" t="e">
        <f>_xlfn.NORM.S.INV(H21/100)</f>
        <v>#NUM!</v>
      </c>
      <c r="I22" s="230" t="s">
        <v>135</v>
      </c>
      <c r="K22" s="138"/>
      <c r="L22" s="139"/>
      <c r="M22" s="141"/>
      <c r="N22" s="141"/>
      <c r="P22" s="141"/>
      <c r="Q22" s="142"/>
      <c r="S22" s="141"/>
      <c r="T22" s="143"/>
    </row>
    <row r="23" spans="2:20" s="140" customFormat="1" x14ac:dyDescent="0.2">
      <c r="C23" s="138"/>
      <c r="D23" s="139"/>
      <c r="E23" s="148"/>
      <c r="F23" s="138"/>
      <c r="G23" s="148"/>
      <c r="H23" s="148"/>
      <c r="I23" s="149"/>
      <c r="K23" s="138"/>
      <c r="L23" s="139"/>
      <c r="M23" s="141"/>
      <c r="N23" s="141"/>
      <c r="P23" s="141"/>
      <c r="Q23" s="142"/>
      <c r="S23" s="141"/>
      <c r="T23" s="143"/>
    </row>
    <row r="24" spans="2:20" s="140" customFormat="1" x14ac:dyDescent="0.2">
      <c r="C24" s="138"/>
      <c r="D24" s="139"/>
      <c r="E24" s="148"/>
      <c r="F24" s="138"/>
      <c r="G24" s="148"/>
      <c r="H24" s="148"/>
      <c r="I24" s="149"/>
      <c r="K24" s="138"/>
      <c r="L24" s="138"/>
      <c r="M24" s="141"/>
      <c r="N24" s="141"/>
      <c r="P24" s="141"/>
      <c r="Q24" s="142"/>
      <c r="S24" s="141"/>
      <c r="T24" s="143"/>
    </row>
    <row r="25" spans="2:20" s="140" customFormat="1" x14ac:dyDescent="0.2">
      <c r="C25" s="138"/>
      <c r="D25" s="139"/>
      <c r="E25" s="148"/>
      <c r="F25" s="138"/>
      <c r="G25" s="148"/>
      <c r="H25" s="148"/>
      <c r="I25" s="149"/>
      <c r="K25" s="138"/>
      <c r="L25" s="138"/>
      <c r="M25" s="141"/>
      <c r="N25" s="141"/>
      <c r="O25" s="138"/>
      <c r="P25" s="141"/>
      <c r="Q25" s="142"/>
      <c r="S25" s="141"/>
      <c r="T25" s="143"/>
    </row>
    <row r="26" spans="2:20" s="140" customFormat="1" x14ac:dyDescent="0.2">
      <c r="C26" s="138"/>
      <c r="D26" s="139"/>
      <c r="E26" s="148"/>
      <c r="F26" s="138"/>
      <c r="G26" s="148"/>
      <c r="H26" s="148"/>
      <c r="I26" s="149"/>
      <c r="K26" s="138"/>
      <c r="L26" s="138"/>
      <c r="M26" s="141"/>
      <c r="N26" s="141"/>
      <c r="O26" s="138"/>
      <c r="P26" s="141"/>
      <c r="Q26" s="142"/>
      <c r="S26" s="141"/>
      <c r="T26" s="143"/>
    </row>
    <row r="27" spans="2:20" s="140" customFormat="1" x14ac:dyDescent="0.2">
      <c r="M27" s="141"/>
      <c r="N27" s="141"/>
      <c r="P27" s="141"/>
      <c r="Q27" s="142"/>
      <c r="S27" s="141"/>
      <c r="T27" s="143"/>
    </row>
    <row r="28" spans="2:20" s="140" customFormat="1" x14ac:dyDescent="0.2">
      <c r="C28" s="106"/>
      <c r="M28" s="141"/>
      <c r="N28" s="141"/>
      <c r="P28" s="141"/>
      <c r="Q28" s="142"/>
      <c r="S28" s="141"/>
      <c r="T28" s="143"/>
    </row>
    <row r="29" spans="2:20" s="140" customFormat="1" x14ac:dyDescent="0.2">
      <c r="M29" s="141"/>
      <c r="N29" s="141"/>
      <c r="P29" s="141"/>
      <c r="Q29" s="142"/>
      <c r="S29" s="141"/>
      <c r="T29" s="143"/>
    </row>
    <row r="30" spans="2:20" s="140" customFormat="1" x14ac:dyDescent="0.2">
      <c r="C30" s="137"/>
      <c r="D30" s="150"/>
      <c r="E30" s="137"/>
      <c r="F30" s="137"/>
      <c r="G30" s="137"/>
      <c r="M30" s="141"/>
      <c r="N30" s="141"/>
      <c r="P30" s="141"/>
      <c r="Q30" s="142"/>
      <c r="S30" s="141"/>
      <c r="T30" s="143"/>
    </row>
    <row r="31" spans="2:20" s="140" customFormat="1" x14ac:dyDescent="0.2">
      <c r="C31" s="138"/>
      <c r="D31" s="148"/>
      <c r="E31" s="149"/>
      <c r="F31" s="149"/>
      <c r="G31" s="149"/>
      <c r="M31" s="141"/>
      <c r="N31" s="141"/>
      <c r="P31" s="141"/>
      <c r="Q31" s="142"/>
      <c r="S31" s="141"/>
      <c r="T31" s="143"/>
    </row>
    <row r="32" spans="2:20" s="140" customFormat="1" x14ac:dyDescent="0.2">
      <c r="C32" s="138"/>
      <c r="D32" s="148"/>
      <c r="E32" s="149"/>
      <c r="F32" s="149"/>
      <c r="G32" s="149"/>
      <c r="M32" s="141"/>
      <c r="N32" s="141"/>
      <c r="P32" s="141"/>
      <c r="Q32" s="142"/>
      <c r="S32" s="141"/>
      <c r="T32" s="143"/>
    </row>
    <row r="33" spans="2:20" s="140" customFormat="1" x14ac:dyDescent="0.2">
      <c r="C33" s="138"/>
      <c r="D33" s="148"/>
      <c r="E33" s="149"/>
      <c r="F33" s="149"/>
      <c r="G33" s="149"/>
      <c r="M33" s="141"/>
      <c r="N33" s="141"/>
      <c r="P33" s="141"/>
      <c r="Q33" s="142"/>
      <c r="S33" s="141"/>
      <c r="T33" s="143"/>
    </row>
    <row r="34" spans="2:20" s="140" customFormat="1" x14ac:dyDescent="0.2">
      <c r="C34" s="138"/>
      <c r="D34" s="148"/>
      <c r="E34" s="149"/>
      <c r="F34" s="149"/>
      <c r="G34" s="149"/>
      <c r="M34" s="141"/>
      <c r="N34" s="141"/>
      <c r="P34" s="141"/>
      <c r="Q34" s="142"/>
      <c r="S34" s="141"/>
      <c r="T34" s="143"/>
    </row>
    <row r="35" spans="2:20" s="140" customFormat="1" x14ac:dyDescent="0.2">
      <c r="B35" s="107"/>
      <c r="C35" s="138"/>
      <c r="D35" s="148"/>
      <c r="E35" s="149"/>
      <c r="F35" s="149"/>
      <c r="G35" s="149"/>
      <c r="M35" s="141"/>
      <c r="N35" s="141"/>
      <c r="P35" s="141"/>
      <c r="Q35" s="142"/>
      <c r="S35" s="141"/>
      <c r="T35" s="143"/>
    </row>
    <row r="36" spans="2:20" s="140" customFormat="1" x14ac:dyDescent="0.2">
      <c r="C36" s="138"/>
      <c r="D36" s="148"/>
      <c r="E36" s="149"/>
      <c r="F36" s="149"/>
      <c r="G36" s="149"/>
      <c r="M36" s="141"/>
      <c r="N36" s="141"/>
      <c r="P36" s="141"/>
      <c r="Q36" s="142"/>
      <c r="S36" s="141"/>
      <c r="T36" s="143"/>
    </row>
    <row r="37" spans="2:20" s="140" customFormat="1" x14ac:dyDescent="0.2">
      <c r="M37" s="141"/>
      <c r="N37" s="141"/>
      <c r="P37" s="141"/>
      <c r="Q37" s="142"/>
      <c r="S37" s="141"/>
      <c r="T37" s="143"/>
    </row>
    <row r="38" spans="2:20" s="140" customFormat="1" x14ac:dyDescent="0.2">
      <c r="M38" s="141"/>
      <c r="N38" s="141"/>
      <c r="P38" s="141"/>
      <c r="Q38" s="142"/>
      <c r="S38" s="141"/>
      <c r="T38" s="143"/>
    </row>
    <row r="39" spans="2:20" s="140" customFormat="1" x14ac:dyDescent="0.2">
      <c r="C39" s="108"/>
      <c r="D39" s="108"/>
      <c r="E39" s="108"/>
      <c r="F39" s="108"/>
      <c r="M39" s="141"/>
      <c r="N39" s="141"/>
      <c r="P39" s="141"/>
      <c r="Q39" s="142"/>
      <c r="S39" s="141"/>
      <c r="T39" s="143"/>
    </row>
    <row r="40" spans="2:20" s="140" customFormat="1" x14ac:dyDescent="0.2">
      <c r="C40" s="151"/>
      <c r="D40" s="152"/>
      <c r="E40" s="153"/>
      <c r="F40" s="153"/>
      <c r="M40" s="141"/>
      <c r="N40" s="141"/>
      <c r="P40" s="141"/>
      <c r="Q40" s="142"/>
      <c r="S40" s="141"/>
      <c r="T40" s="143"/>
    </row>
    <row r="41" spans="2:20" s="140" customFormat="1" x14ac:dyDescent="0.2">
      <c r="M41" s="141"/>
      <c r="N41" s="141"/>
      <c r="P41" s="141"/>
      <c r="Q41" s="142"/>
      <c r="S41" s="141"/>
      <c r="T41" s="143"/>
    </row>
    <row r="42" spans="2:20" s="140" customFormat="1" x14ac:dyDescent="0.2">
      <c r="C42" s="106"/>
      <c r="M42" s="141"/>
      <c r="N42" s="141"/>
      <c r="P42" s="141"/>
      <c r="Q42" s="142"/>
      <c r="S42" s="141"/>
      <c r="T42" s="143"/>
    </row>
    <row r="43" spans="2:20" s="140" customFormat="1" x14ac:dyDescent="0.2">
      <c r="M43" s="141"/>
      <c r="N43" s="141"/>
      <c r="P43" s="141"/>
      <c r="Q43" s="142"/>
      <c r="S43" s="141"/>
      <c r="T43" s="143"/>
    </row>
    <row r="44" spans="2:20" s="140" customFormat="1" x14ac:dyDescent="0.2">
      <c r="M44" s="141"/>
      <c r="N44" s="141"/>
      <c r="P44" s="141"/>
      <c r="Q44" s="142"/>
      <c r="S44" s="141"/>
      <c r="T44" s="143"/>
    </row>
    <row r="45" spans="2:20" s="140" customFormat="1" x14ac:dyDescent="0.2">
      <c r="M45" s="141"/>
      <c r="N45" s="141"/>
      <c r="P45" s="141"/>
      <c r="Q45" s="142"/>
      <c r="S45" s="141"/>
      <c r="T45" s="143"/>
    </row>
    <row r="46" spans="2:20" s="140" customFormat="1" x14ac:dyDescent="0.2">
      <c r="M46" s="141"/>
      <c r="N46" s="141"/>
      <c r="P46" s="141"/>
      <c r="Q46" s="142"/>
      <c r="S46" s="141"/>
      <c r="T46" s="143"/>
    </row>
    <row r="47" spans="2:20" s="140" customFormat="1" x14ac:dyDescent="0.2">
      <c r="M47" s="141"/>
      <c r="N47" s="141"/>
      <c r="P47" s="141"/>
      <c r="Q47" s="142"/>
      <c r="S47" s="141"/>
      <c r="T47" s="143"/>
    </row>
    <row r="48" spans="2:20" s="140" customFormat="1" x14ac:dyDescent="0.2">
      <c r="M48" s="141"/>
      <c r="N48" s="141"/>
      <c r="P48" s="141"/>
      <c r="Q48" s="142"/>
      <c r="S48" s="141"/>
      <c r="T48" s="143"/>
    </row>
    <row r="49" spans="13:20" s="140" customFormat="1" x14ac:dyDescent="0.2">
      <c r="M49" s="141"/>
      <c r="N49" s="141"/>
      <c r="P49" s="141"/>
      <c r="Q49" s="142"/>
      <c r="S49" s="141"/>
      <c r="T49" s="143"/>
    </row>
    <row r="50" spans="13:20" s="140" customFormat="1" x14ac:dyDescent="0.2">
      <c r="M50" s="141"/>
      <c r="N50" s="141"/>
      <c r="P50" s="141"/>
      <c r="Q50" s="142"/>
      <c r="S50" s="141"/>
      <c r="T50" s="143"/>
    </row>
    <row r="51" spans="13:20" s="140" customFormat="1" x14ac:dyDescent="0.2">
      <c r="M51" s="141"/>
      <c r="N51" s="141"/>
      <c r="P51" s="141"/>
      <c r="Q51" s="142"/>
      <c r="S51" s="141"/>
      <c r="T51" s="143"/>
    </row>
    <row r="52" spans="13:20" s="140" customFormat="1" x14ac:dyDescent="0.2">
      <c r="M52" s="141"/>
      <c r="N52" s="141"/>
      <c r="P52" s="141"/>
      <c r="Q52" s="142"/>
      <c r="S52" s="141"/>
      <c r="T52" s="143"/>
    </row>
    <row r="53" spans="13:20" s="140" customFormat="1" x14ac:dyDescent="0.2">
      <c r="M53" s="141"/>
      <c r="N53" s="141"/>
      <c r="P53" s="141"/>
      <c r="Q53" s="142"/>
      <c r="S53" s="141"/>
      <c r="T53" s="143"/>
    </row>
    <row r="54" spans="13:20" s="140" customFormat="1" x14ac:dyDescent="0.2">
      <c r="M54" s="141"/>
      <c r="N54" s="141"/>
      <c r="P54" s="141"/>
      <c r="Q54" s="142"/>
      <c r="S54" s="141"/>
      <c r="T54" s="143"/>
    </row>
    <row r="55" spans="13:20" s="140" customFormat="1" x14ac:dyDescent="0.2">
      <c r="M55" s="141"/>
      <c r="N55" s="141"/>
      <c r="P55" s="141"/>
      <c r="Q55" s="142"/>
      <c r="S55" s="141"/>
      <c r="T55" s="143"/>
    </row>
    <row r="56" spans="13:20" s="140" customFormat="1" x14ac:dyDescent="0.2">
      <c r="M56" s="141"/>
      <c r="N56" s="141"/>
      <c r="P56" s="141"/>
      <c r="Q56" s="142"/>
      <c r="S56" s="141"/>
      <c r="T56" s="143"/>
    </row>
    <row r="57" spans="13:20" s="140" customFormat="1" x14ac:dyDescent="0.2">
      <c r="M57" s="141"/>
      <c r="N57" s="141"/>
      <c r="P57" s="141"/>
      <c r="Q57" s="142"/>
      <c r="S57" s="141"/>
      <c r="T57" s="143"/>
    </row>
    <row r="58" spans="13:20" s="140" customFormat="1" x14ac:dyDescent="0.2">
      <c r="M58" s="141"/>
      <c r="N58" s="141"/>
      <c r="P58" s="141"/>
      <c r="Q58" s="142"/>
      <c r="S58" s="141"/>
      <c r="T58" s="143"/>
    </row>
    <row r="59" spans="13:20" s="140" customFormat="1" x14ac:dyDescent="0.2">
      <c r="M59" s="141"/>
      <c r="N59" s="141"/>
      <c r="P59" s="141"/>
      <c r="Q59" s="142"/>
      <c r="S59" s="141"/>
      <c r="T59" s="143"/>
    </row>
    <row r="60" spans="13:20" s="140" customFormat="1" x14ac:dyDescent="0.2">
      <c r="M60" s="141"/>
      <c r="N60" s="141"/>
      <c r="P60" s="141"/>
      <c r="Q60" s="142"/>
      <c r="S60" s="141"/>
      <c r="T60" s="143"/>
    </row>
    <row r="61" spans="13:20" s="140" customFormat="1" x14ac:dyDescent="0.2">
      <c r="M61" s="141"/>
      <c r="N61" s="141"/>
      <c r="P61" s="141"/>
      <c r="Q61" s="142"/>
      <c r="S61" s="141"/>
      <c r="T61" s="143"/>
    </row>
    <row r="62" spans="13:20" s="140" customFormat="1" x14ac:dyDescent="0.2">
      <c r="M62" s="141"/>
      <c r="N62" s="141"/>
      <c r="P62" s="141"/>
      <c r="Q62" s="142"/>
      <c r="S62" s="141"/>
      <c r="T62" s="143"/>
    </row>
    <row r="63" spans="13:20" s="140" customFormat="1" x14ac:dyDescent="0.2">
      <c r="M63" s="141"/>
      <c r="N63" s="141"/>
      <c r="P63" s="141"/>
      <c r="Q63" s="142"/>
      <c r="S63" s="141"/>
      <c r="T63" s="143"/>
    </row>
    <row r="64" spans="13:20" s="140" customFormat="1" x14ac:dyDescent="0.2">
      <c r="M64" s="141"/>
      <c r="N64" s="141"/>
      <c r="P64" s="141"/>
      <c r="Q64" s="142"/>
      <c r="S64" s="141"/>
      <c r="T64" s="143"/>
    </row>
    <row r="65" spans="13:20" s="140" customFormat="1" x14ac:dyDescent="0.2">
      <c r="M65" s="141"/>
      <c r="N65" s="141"/>
      <c r="P65" s="141"/>
      <c r="Q65" s="142"/>
      <c r="S65" s="141"/>
      <c r="T65" s="143"/>
    </row>
    <row r="66" spans="13:20" s="140" customFormat="1" x14ac:dyDescent="0.2">
      <c r="M66" s="141"/>
      <c r="N66" s="141"/>
      <c r="P66" s="141"/>
      <c r="Q66" s="142"/>
      <c r="S66" s="141"/>
      <c r="T66" s="143"/>
    </row>
    <row r="67" spans="13:20" s="140" customFormat="1" x14ac:dyDescent="0.2">
      <c r="M67" s="141"/>
      <c r="N67" s="141"/>
      <c r="P67" s="141"/>
      <c r="Q67" s="142"/>
      <c r="S67" s="141"/>
      <c r="T67" s="143"/>
    </row>
    <row r="68" spans="13:20" s="140" customFormat="1" x14ac:dyDescent="0.2">
      <c r="M68" s="141"/>
      <c r="N68" s="141"/>
      <c r="P68" s="141"/>
      <c r="Q68" s="142"/>
      <c r="S68" s="141"/>
      <c r="T68" s="143"/>
    </row>
    <row r="69" spans="13:20" s="140" customFormat="1" x14ac:dyDescent="0.2">
      <c r="M69" s="141"/>
      <c r="N69" s="141"/>
      <c r="P69" s="141"/>
      <c r="Q69" s="142"/>
      <c r="S69" s="141"/>
      <c r="T69" s="143"/>
    </row>
    <row r="70" spans="13:20" s="140" customFormat="1" x14ac:dyDescent="0.2">
      <c r="M70" s="141"/>
      <c r="N70" s="141"/>
      <c r="P70" s="141"/>
      <c r="Q70" s="142"/>
      <c r="S70" s="141"/>
      <c r="T70" s="143"/>
    </row>
    <row r="71" spans="13:20" s="140" customFormat="1" x14ac:dyDescent="0.2">
      <c r="M71" s="141"/>
      <c r="N71" s="141"/>
      <c r="P71" s="141"/>
      <c r="Q71" s="142"/>
      <c r="S71" s="141"/>
      <c r="T71" s="143"/>
    </row>
    <row r="72" spans="13:20" s="140" customFormat="1" x14ac:dyDescent="0.2">
      <c r="M72" s="141"/>
      <c r="N72" s="141"/>
      <c r="P72" s="141"/>
      <c r="Q72" s="142"/>
      <c r="S72" s="141"/>
      <c r="T72" s="143"/>
    </row>
    <row r="73" spans="13:20" s="140" customFormat="1" x14ac:dyDescent="0.2">
      <c r="M73" s="141"/>
      <c r="N73" s="141"/>
      <c r="P73" s="141"/>
      <c r="Q73" s="142"/>
      <c r="S73" s="141"/>
      <c r="T73" s="143"/>
    </row>
    <row r="74" spans="13:20" s="140" customFormat="1" x14ac:dyDescent="0.2">
      <c r="M74" s="141"/>
      <c r="N74" s="141"/>
      <c r="P74" s="141"/>
      <c r="Q74" s="142"/>
      <c r="S74" s="141"/>
      <c r="T74" s="143"/>
    </row>
    <row r="75" spans="13:20" s="140" customFormat="1" x14ac:dyDescent="0.2">
      <c r="M75" s="141"/>
      <c r="N75" s="141"/>
      <c r="P75" s="141"/>
      <c r="Q75" s="142"/>
      <c r="S75" s="141"/>
      <c r="T75" s="143"/>
    </row>
    <row r="76" spans="13:20" s="140" customFormat="1" x14ac:dyDescent="0.2">
      <c r="M76" s="141"/>
      <c r="N76" s="141"/>
      <c r="P76" s="141"/>
      <c r="Q76" s="142"/>
      <c r="S76" s="141"/>
      <c r="T76" s="143"/>
    </row>
    <row r="77" spans="13:20" s="140" customFormat="1" x14ac:dyDescent="0.2">
      <c r="M77" s="141"/>
      <c r="N77" s="141"/>
      <c r="P77" s="141"/>
      <c r="Q77" s="142"/>
      <c r="S77" s="141"/>
      <c r="T77" s="143"/>
    </row>
    <row r="78" spans="13:20" s="140" customFormat="1" x14ac:dyDescent="0.2">
      <c r="M78" s="141"/>
      <c r="N78" s="141"/>
      <c r="P78" s="141"/>
      <c r="Q78" s="142"/>
      <c r="S78" s="141"/>
      <c r="T78" s="143"/>
    </row>
    <row r="79" spans="13:20" s="140" customFormat="1" x14ac:dyDescent="0.2">
      <c r="M79" s="141"/>
      <c r="N79" s="141"/>
      <c r="P79" s="141"/>
      <c r="Q79" s="142"/>
      <c r="S79" s="141"/>
      <c r="T79" s="143"/>
    </row>
    <row r="80" spans="13:20" s="140" customFormat="1" x14ac:dyDescent="0.2">
      <c r="M80" s="141"/>
      <c r="N80" s="141"/>
      <c r="P80" s="141"/>
      <c r="Q80" s="142"/>
      <c r="S80" s="141"/>
      <c r="T80" s="143"/>
    </row>
    <row r="81" spans="13:20" s="140" customFormat="1" x14ac:dyDescent="0.2">
      <c r="M81" s="141"/>
      <c r="N81" s="141"/>
      <c r="P81" s="141"/>
      <c r="Q81" s="142"/>
      <c r="S81" s="141"/>
      <c r="T81" s="143"/>
    </row>
    <row r="82" spans="13:20" s="140" customFormat="1" x14ac:dyDescent="0.2">
      <c r="M82" s="141"/>
      <c r="N82" s="141"/>
      <c r="P82" s="141"/>
      <c r="Q82" s="142"/>
      <c r="S82" s="141"/>
      <c r="T82" s="143"/>
    </row>
    <row r="83" spans="13:20" s="140" customFormat="1" x14ac:dyDescent="0.2">
      <c r="M83" s="141"/>
      <c r="N83" s="141"/>
      <c r="P83" s="141"/>
      <c r="Q83" s="142"/>
      <c r="S83" s="141"/>
      <c r="T83" s="143"/>
    </row>
    <row r="84" spans="13:20" s="140" customFormat="1" x14ac:dyDescent="0.2">
      <c r="M84" s="141"/>
      <c r="N84" s="141"/>
      <c r="P84" s="141"/>
      <c r="Q84" s="142"/>
      <c r="S84" s="141"/>
      <c r="T84" s="143"/>
    </row>
    <row r="85" spans="13:20" s="140" customFormat="1" x14ac:dyDescent="0.2">
      <c r="M85" s="141"/>
      <c r="N85" s="141"/>
      <c r="P85" s="141"/>
      <c r="Q85" s="142"/>
      <c r="S85" s="141"/>
      <c r="T85" s="143"/>
    </row>
    <row r="86" spans="13:20" s="140" customFormat="1" x14ac:dyDescent="0.2">
      <c r="M86" s="141"/>
      <c r="N86" s="141"/>
      <c r="P86" s="141"/>
      <c r="Q86" s="142"/>
      <c r="S86" s="141"/>
      <c r="T86" s="143"/>
    </row>
    <row r="87" spans="13:20" s="140" customFormat="1" x14ac:dyDescent="0.2">
      <c r="M87" s="141"/>
      <c r="N87" s="141"/>
      <c r="P87" s="141"/>
      <c r="Q87" s="142"/>
      <c r="S87" s="141"/>
      <c r="T87" s="143"/>
    </row>
    <row r="88" spans="13:20" s="140" customFormat="1" x14ac:dyDescent="0.2">
      <c r="M88" s="141"/>
      <c r="N88" s="141"/>
      <c r="P88" s="141"/>
      <c r="Q88" s="142"/>
      <c r="S88" s="141"/>
      <c r="T88" s="143"/>
    </row>
    <row r="89" spans="13:20" s="140" customFormat="1" x14ac:dyDescent="0.2">
      <c r="M89" s="141"/>
      <c r="N89" s="141"/>
      <c r="P89" s="141"/>
      <c r="Q89" s="142"/>
      <c r="S89" s="141"/>
      <c r="T89" s="143"/>
    </row>
    <row r="90" spans="13:20" s="140" customFormat="1" x14ac:dyDescent="0.2">
      <c r="M90" s="141"/>
      <c r="N90" s="141"/>
      <c r="P90" s="141"/>
      <c r="Q90" s="142"/>
      <c r="S90" s="141"/>
      <c r="T90" s="143"/>
    </row>
    <row r="91" spans="13:20" s="140" customFormat="1" x14ac:dyDescent="0.2">
      <c r="M91" s="141"/>
      <c r="N91" s="141"/>
      <c r="P91" s="141"/>
      <c r="Q91" s="142"/>
      <c r="S91" s="141"/>
      <c r="T91" s="143"/>
    </row>
    <row r="92" spans="13:20" s="140" customFormat="1" x14ac:dyDescent="0.2">
      <c r="M92" s="141"/>
      <c r="N92" s="141"/>
      <c r="P92" s="141"/>
      <c r="Q92" s="142"/>
      <c r="S92" s="141"/>
      <c r="T92" s="143"/>
    </row>
    <row r="93" spans="13:20" s="140" customFormat="1" x14ac:dyDescent="0.2">
      <c r="M93" s="141"/>
      <c r="N93" s="141"/>
      <c r="P93" s="141"/>
      <c r="Q93" s="142"/>
      <c r="S93" s="141"/>
      <c r="T93" s="143"/>
    </row>
    <row r="94" spans="13:20" s="140" customFormat="1" x14ac:dyDescent="0.2">
      <c r="M94" s="141"/>
      <c r="N94" s="141"/>
      <c r="P94" s="141"/>
      <c r="Q94" s="142"/>
      <c r="S94" s="141"/>
      <c r="T94" s="143"/>
    </row>
    <row r="95" spans="13:20" s="140" customFormat="1" x14ac:dyDescent="0.2">
      <c r="M95" s="141"/>
      <c r="N95" s="141"/>
      <c r="P95" s="141"/>
      <c r="Q95" s="142"/>
      <c r="S95" s="141"/>
      <c r="T95" s="143"/>
    </row>
    <row r="96" spans="13:20" s="140" customFormat="1" x14ac:dyDescent="0.2">
      <c r="M96" s="141"/>
      <c r="N96" s="141"/>
      <c r="P96" s="141"/>
      <c r="Q96" s="142"/>
      <c r="S96" s="141"/>
      <c r="T96" s="143"/>
    </row>
    <row r="97" spans="13:20" s="140" customFormat="1" x14ac:dyDescent="0.2">
      <c r="M97" s="141"/>
      <c r="N97" s="141"/>
      <c r="P97" s="141"/>
      <c r="Q97" s="142"/>
      <c r="S97" s="141"/>
      <c r="T97" s="143"/>
    </row>
    <row r="98" spans="13:20" s="140" customFormat="1" x14ac:dyDescent="0.2">
      <c r="M98" s="141"/>
      <c r="N98" s="141"/>
      <c r="P98" s="141"/>
      <c r="Q98" s="142"/>
      <c r="S98" s="141"/>
      <c r="T98" s="143"/>
    </row>
    <row r="99" spans="13:20" s="140" customFormat="1" x14ac:dyDescent="0.2">
      <c r="M99" s="141"/>
      <c r="N99" s="141"/>
      <c r="P99" s="141"/>
      <c r="Q99" s="142"/>
      <c r="S99" s="141"/>
      <c r="T99" s="143"/>
    </row>
    <row r="100" spans="13:20" s="140" customFormat="1" x14ac:dyDescent="0.2">
      <c r="M100" s="141"/>
      <c r="N100" s="141"/>
      <c r="P100" s="141"/>
      <c r="Q100" s="142"/>
      <c r="S100" s="141"/>
      <c r="T100" s="143"/>
    </row>
    <row r="101" spans="13:20" s="140" customFormat="1" x14ac:dyDescent="0.2">
      <c r="M101" s="141"/>
      <c r="N101" s="141"/>
      <c r="P101" s="141"/>
      <c r="Q101" s="142"/>
      <c r="S101" s="141"/>
      <c r="T101" s="143"/>
    </row>
    <row r="102" spans="13:20" s="140" customFormat="1" x14ac:dyDescent="0.2">
      <c r="M102" s="141"/>
      <c r="N102" s="141"/>
      <c r="P102" s="141"/>
      <c r="Q102" s="142"/>
      <c r="S102" s="141"/>
      <c r="T102" s="143"/>
    </row>
    <row r="103" spans="13:20" s="140" customFormat="1" x14ac:dyDescent="0.2">
      <c r="M103" s="141"/>
      <c r="N103" s="141"/>
      <c r="P103" s="141"/>
      <c r="Q103" s="142"/>
      <c r="S103" s="141"/>
      <c r="T103" s="143"/>
    </row>
    <row r="104" spans="13:20" s="140" customFormat="1" x14ac:dyDescent="0.2">
      <c r="M104" s="141"/>
      <c r="N104" s="141"/>
      <c r="P104" s="141"/>
      <c r="Q104" s="142"/>
      <c r="S104" s="141"/>
      <c r="T104" s="143"/>
    </row>
    <row r="105" spans="13:20" s="140" customFormat="1" x14ac:dyDescent="0.2">
      <c r="M105" s="141"/>
      <c r="N105" s="141"/>
      <c r="P105" s="141"/>
      <c r="Q105" s="142"/>
      <c r="S105" s="141"/>
      <c r="T105" s="143"/>
    </row>
    <row r="106" spans="13:20" s="140" customFormat="1" x14ac:dyDescent="0.2">
      <c r="M106" s="141"/>
      <c r="N106" s="141"/>
      <c r="P106" s="141"/>
      <c r="Q106" s="142"/>
      <c r="S106" s="141"/>
      <c r="T106" s="143"/>
    </row>
    <row r="107" spans="13:20" s="140" customFormat="1" x14ac:dyDescent="0.2">
      <c r="M107" s="141"/>
      <c r="N107" s="141"/>
      <c r="P107" s="141"/>
      <c r="Q107" s="142"/>
      <c r="S107" s="141"/>
      <c r="T107" s="143"/>
    </row>
    <row r="108" spans="13:20" s="140" customFormat="1" x14ac:dyDescent="0.2">
      <c r="M108" s="141"/>
      <c r="N108" s="141"/>
      <c r="P108" s="141"/>
      <c r="Q108" s="142"/>
      <c r="S108" s="141"/>
      <c r="T108" s="143"/>
    </row>
    <row r="109" spans="13:20" s="140" customFormat="1" x14ac:dyDescent="0.2">
      <c r="M109" s="141"/>
      <c r="N109" s="141"/>
      <c r="P109" s="141"/>
      <c r="Q109" s="142"/>
      <c r="S109" s="141"/>
      <c r="T109" s="143"/>
    </row>
    <row r="110" spans="13:20" s="140" customFormat="1" x14ac:dyDescent="0.2">
      <c r="M110" s="141"/>
      <c r="N110" s="141"/>
      <c r="P110" s="141"/>
      <c r="Q110" s="142"/>
      <c r="S110" s="141"/>
      <c r="T110" s="143"/>
    </row>
    <row r="111" spans="13:20" s="140" customFormat="1" x14ac:dyDescent="0.2">
      <c r="M111" s="141"/>
      <c r="N111" s="141"/>
      <c r="P111" s="141"/>
      <c r="Q111" s="142"/>
      <c r="S111" s="141"/>
      <c r="T111" s="143"/>
    </row>
    <row r="112" spans="13:20" s="140" customFormat="1" x14ac:dyDescent="0.2">
      <c r="M112" s="141"/>
      <c r="N112" s="141"/>
      <c r="P112" s="141"/>
      <c r="Q112" s="142"/>
      <c r="S112" s="141"/>
      <c r="T112" s="143"/>
    </row>
    <row r="113" spans="13:20" s="140" customFormat="1" x14ac:dyDescent="0.2">
      <c r="M113" s="141"/>
      <c r="N113" s="141"/>
      <c r="P113" s="141"/>
      <c r="Q113" s="142"/>
      <c r="S113" s="141"/>
      <c r="T113" s="143"/>
    </row>
    <row r="114" spans="13:20" s="140" customFormat="1" x14ac:dyDescent="0.2">
      <c r="M114" s="141"/>
      <c r="N114" s="141"/>
      <c r="P114" s="141"/>
      <c r="Q114" s="142"/>
      <c r="S114" s="141"/>
      <c r="T114" s="143"/>
    </row>
    <row r="115" spans="13:20" s="140" customFormat="1" x14ac:dyDescent="0.2">
      <c r="M115" s="141"/>
      <c r="N115" s="141"/>
      <c r="P115" s="141"/>
      <c r="Q115" s="142"/>
      <c r="S115" s="141"/>
      <c r="T115" s="143"/>
    </row>
    <row r="116" spans="13:20" s="140" customFormat="1" x14ac:dyDescent="0.2">
      <c r="M116" s="141"/>
      <c r="N116" s="141"/>
      <c r="P116" s="141"/>
      <c r="Q116" s="142"/>
      <c r="S116" s="141"/>
      <c r="T116" s="143"/>
    </row>
    <row r="117" spans="13:20" s="140" customFormat="1" x14ac:dyDescent="0.2">
      <c r="M117" s="141"/>
      <c r="N117" s="141"/>
      <c r="P117" s="141"/>
      <c r="Q117" s="142"/>
      <c r="S117" s="141"/>
      <c r="T117" s="143"/>
    </row>
    <row r="118" spans="13:20" s="140" customFormat="1" x14ac:dyDescent="0.2">
      <c r="M118" s="141"/>
      <c r="N118" s="141"/>
      <c r="P118" s="141"/>
      <c r="Q118" s="142"/>
      <c r="S118" s="141"/>
      <c r="T118" s="143"/>
    </row>
    <row r="119" spans="13:20" s="140" customFormat="1" x14ac:dyDescent="0.2">
      <c r="M119" s="141"/>
      <c r="N119" s="141"/>
      <c r="P119" s="141"/>
      <c r="Q119" s="142"/>
      <c r="S119" s="141"/>
      <c r="T119" s="143"/>
    </row>
    <row r="120" spans="13:20" s="140" customFormat="1" x14ac:dyDescent="0.2">
      <c r="M120" s="141"/>
      <c r="N120" s="141"/>
      <c r="P120" s="141"/>
      <c r="Q120" s="142"/>
      <c r="S120" s="141"/>
      <c r="T120" s="143"/>
    </row>
    <row r="121" spans="13:20" s="140" customFormat="1" x14ac:dyDescent="0.2">
      <c r="M121" s="141"/>
      <c r="N121" s="141"/>
      <c r="P121" s="141"/>
      <c r="Q121" s="142"/>
      <c r="S121" s="141"/>
      <c r="T121" s="143"/>
    </row>
    <row r="122" spans="13:20" s="140" customFormat="1" x14ac:dyDescent="0.2">
      <c r="M122" s="141"/>
      <c r="N122" s="141"/>
      <c r="P122" s="141"/>
      <c r="Q122" s="142"/>
      <c r="S122" s="141"/>
      <c r="T122" s="143"/>
    </row>
    <row r="123" spans="13:20" s="140" customFormat="1" x14ac:dyDescent="0.2">
      <c r="M123" s="141"/>
      <c r="N123" s="141"/>
      <c r="P123" s="141"/>
      <c r="Q123" s="142"/>
      <c r="S123" s="141"/>
      <c r="T123" s="143"/>
    </row>
    <row r="124" spans="13:20" s="140" customFormat="1" x14ac:dyDescent="0.2">
      <c r="M124" s="141"/>
      <c r="N124" s="141"/>
      <c r="P124" s="141"/>
      <c r="Q124" s="142"/>
      <c r="S124" s="141"/>
      <c r="T124" s="143"/>
    </row>
    <row r="125" spans="13:20" s="140" customFormat="1" x14ac:dyDescent="0.2">
      <c r="M125" s="141"/>
      <c r="N125" s="141"/>
      <c r="P125" s="141"/>
      <c r="Q125" s="142"/>
      <c r="S125" s="141"/>
      <c r="T125" s="143"/>
    </row>
    <row r="126" spans="13:20" s="140" customFormat="1" x14ac:dyDescent="0.2">
      <c r="M126" s="141"/>
      <c r="N126" s="141"/>
      <c r="P126" s="141"/>
      <c r="Q126" s="142"/>
      <c r="S126" s="141"/>
      <c r="T126" s="143"/>
    </row>
    <row r="127" spans="13:20" s="140" customFormat="1" x14ac:dyDescent="0.2">
      <c r="M127" s="141"/>
      <c r="N127" s="141"/>
      <c r="P127" s="141"/>
      <c r="Q127" s="142"/>
      <c r="S127" s="141"/>
      <c r="T127" s="143"/>
    </row>
    <row r="128" spans="13:20" s="140" customFormat="1" x14ac:dyDescent="0.2">
      <c r="M128" s="141"/>
      <c r="N128" s="141"/>
      <c r="P128" s="141"/>
      <c r="Q128" s="142"/>
      <c r="S128" s="141"/>
      <c r="T128" s="143"/>
    </row>
    <row r="129" spans="13:20" s="140" customFormat="1" x14ac:dyDescent="0.2">
      <c r="M129" s="141"/>
      <c r="N129" s="141"/>
      <c r="P129" s="141"/>
      <c r="Q129" s="142"/>
      <c r="S129" s="141"/>
      <c r="T129" s="143"/>
    </row>
    <row r="130" spans="13:20" s="140" customFormat="1" x14ac:dyDescent="0.2">
      <c r="M130" s="141"/>
      <c r="N130" s="141"/>
      <c r="P130" s="141"/>
      <c r="Q130" s="142"/>
      <c r="S130" s="141"/>
      <c r="T130" s="143"/>
    </row>
    <row r="131" spans="13:20" s="140" customFormat="1" x14ac:dyDescent="0.2">
      <c r="M131" s="141"/>
      <c r="N131" s="141"/>
      <c r="P131" s="141"/>
      <c r="Q131" s="142"/>
      <c r="S131" s="141"/>
      <c r="T131" s="143"/>
    </row>
    <row r="132" spans="13:20" s="140" customFormat="1" x14ac:dyDescent="0.2">
      <c r="M132" s="141"/>
      <c r="N132" s="141"/>
      <c r="P132" s="141"/>
      <c r="Q132" s="142"/>
      <c r="S132" s="141"/>
      <c r="T132" s="143"/>
    </row>
    <row r="133" spans="13:20" s="140" customFormat="1" x14ac:dyDescent="0.2">
      <c r="M133" s="141"/>
      <c r="N133" s="141"/>
      <c r="P133" s="141"/>
      <c r="Q133" s="142"/>
      <c r="S133" s="141"/>
      <c r="T133" s="143"/>
    </row>
    <row r="134" spans="13:20" s="140" customFormat="1" x14ac:dyDescent="0.2">
      <c r="M134" s="141"/>
      <c r="N134" s="141"/>
      <c r="P134" s="141"/>
      <c r="Q134" s="142"/>
      <c r="S134" s="141"/>
      <c r="T134" s="143"/>
    </row>
    <row r="135" spans="13:20" s="140" customFormat="1" x14ac:dyDescent="0.2">
      <c r="M135" s="141"/>
      <c r="N135" s="141"/>
      <c r="P135" s="141"/>
      <c r="Q135" s="142"/>
      <c r="S135" s="141"/>
      <c r="T135" s="143"/>
    </row>
    <row r="136" spans="13:20" s="140" customFormat="1" x14ac:dyDescent="0.2">
      <c r="M136" s="141"/>
      <c r="N136" s="141"/>
      <c r="P136" s="141"/>
      <c r="Q136" s="142"/>
      <c r="S136" s="141"/>
      <c r="T136" s="143"/>
    </row>
    <row r="137" spans="13:20" s="140" customFormat="1" x14ac:dyDescent="0.2">
      <c r="M137" s="141"/>
      <c r="N137" s="141"/>
      <c r="P137" s="141"/>
      <c r="Q137" s="142"/>
      <c r="S137" s="141"/>
      <c r="T137" s="143"/>
    </row>
    <row r="138" spans="13:20" s="140" customFormat="1" x14ac:dyDescent="0.2">
      <c r="M138" s="141"/>
      <c r="N138" s="141"/>
      <c r="P138" s="141"/>
      <c r="Q138" s="142"/>
      <c r="S138" s="141"/>
      <c r="T138" s="143"/>
    </row>
    <row r="139" spans="13:20" s="140" customFormat="1" x14ac:dyDescent="0.2">
      <c r="M139" s="141"/>
      <c r="N139" s="141"/>
      <c r="P139" s="141"/>
      <c r="Q139" s="142"/>
      <c r="S139" s="141"/>
      <c r="T139" s="143"/>
    </row>
    <row r="140" spans="13:20" s="140" customFormat="1" x14ac:dyDescent="0.2">
      <c r="M140" s="141"/>
      <c r="N140" s="141"/>
      <c r="P140" s="141"/>
      <c r="Q140" s="142"/>
      <c r="S140" s="141"/>
      <c r="T140" s="143"/>
    </row>
    <row r="141" spans="13:20" s="140" customFormat="1" x14ac:dyDescent="0.2">
      <c r="M141" s="141"/>
      <c r="N141" s="141"/>
      <c r="P141" s="141"/>
      <c r="Q141" s="142"/>
      <c r="S141" s="141"/>
      <c r="T141" s="143"/>
    </row>
    <row r="142" spans="13:20" s="140" customFormat="1" x14ac:dyDescent="0.2">
      <c r="M142" s="141"/>
      <c r="N142" s="141"/>
      <c r="P142" s="141"/>
      <c r="Q142" s="142"/>
      <c r="S142" s="141"/>
      <c r="T142" s="143"/>
    </row>
    <row r="143" spans="13:20" s="140" customFormat="1" x14ac:dyDescent="0.2">
      <c r="M143" s="141"/>
      <c r="N143" s="141"/>
      <c r="P143" s="141"/>
      <c r="Q143" s="142"/>
      <c r="S143" s="141"/>
      <c r="T143" s="143"/>
    </row>
    <row r="144" spans="13:20" s="140" customFormat="1" x14ac:dyDescent="0.2">
      <c r="M144" s="141"/>
      <c r="N144" s="141"/>
      <c r="P144" s="141"/>
      <c r="Q144" s="142"/>
      <c r="S144" s="141"/>
      <c r="T144" s="143"/>
    </row>
    <row r="145" spans="13:20" s="140" customFormat="1" x14ac:dyDescent="0.2">
      <c r="M145" s="141"/>
      <c r="N145" s="141"/>
      <c r="P145" s="141"/>
      <c r="Q145" s="142"/>
      <c r="S145" s="141"/>
      <c r="T145" s="143"/>
    </row>
    <row r="146" spans="13:20" s="140" customFormat="1" x14ac:dyDescent="0.2">
      <c r="M146" s="141"/>
      <c r="N146" s="141"/>
      <c r="P146" s="141"/>
      <c r="Q146" s="142"/>
      <c r="S146" s="141"/>
      <c r="T146" s="143"/>
    </row>
    <row r="147" spans="13:20" s="140" customFormat="1" x14ac:dyDescent="0.2">
      <c r="M147" s="141"/>
      <c r="N147" s="141"/>
      <c r="P147" s="141"/>
      <c r="Q147" s="142"/>
      <c r="S147" s="141"/>
      <c r="T147" s="143"/>
    </row>
    <row r="148" spans="13:20" s="140" customFormat="1" x14ac:dyDescent="0.2">
      <c r="M148" s="141"/>
      <c r="N148" s="141"/>
      <c r="P148" s="141"/>
      <c r="Q148" s="142"/>
      <c r="S148" s="141"/>
      <c r="T148" s="143"/>
    </row>
    <row r="149" spans="13:20" s="140" customFormat="1" x14ac:dyDescent="0.2">
      <c r="M149" s="141"/>
      <c r="N149" s="141"/>
      <c r="P149" s="141"/>
      <c r="Q149" s="142"/>
      <c r="S149" s="141"/>
      <c r="T149" s="143"/>
    </row>
    <row r="150" spans="13:20" s="140" customFormat="1" x14ac:dyDescent="0.2">
      <c r="M150" s="141"/>
      <c r="N150" s="141"/>
      <c r="P150" s="141"/>
      <c r="Q150" s="142"/>
      <c r="S150" s="141"/>
      <c r="T150" s="143"/>
    </row>
    <row r="151" spans="13:20" s="140" customFormat="1" x14ac:dyDescent="0.2">
      <c r="M151" s="141"/>
      <c r="N151" s="141"/>
      <c r="P151" s="141"/>
      <c r="Q151" s="142"/>
      <c r="S151" s="141"/>
      <c r="T151" s="143"/>
    </row>
    <row r="152" spans="13:20" s="140" customFormat="1" x14ac:dyDescent="0.2">
      <c r="M152" s="141"/>
      <c r="N152" s="141"/>
      <c r="P152" s="141"/>
      <c r="Q152" s="142"/>
      <c r="S152" s="141"/>
      <c r="T152" s="143"/>
    </row>
    <row r="153" spans="13:20" s="140" customFormat="1" x14ac:dyDescent="0.2">
      <c r="M153" s="141"/>
      <c r="N153" s="141"/>
      <c r="P153" s="141"/>
      <c r="Q153" s="142"/>
      <c r="S153" s="141"/>
      <c r="T153" s="143"/>
    </row>
    <row r="154" spans="13:20" s="140" customFormat="1" x14ac:dyDescent="0.2">
      <c r="M154" s="141"/>
      <c r="N154" s="141"/>
      <c r="P154" s="141"/>
      <c r="Q154" s="142"/>
      <c r="S154" s="141"/>
      <c r="T154" s="143"/>
    </row>
    <row r="155" spans="13:20" s="140" customFormat="1" x14ac:dyDescent="0.2">
      <c r="M155" s="141"/>
      <c r="N155" s="141"/>
      <c r="P155" s="141"/>
      <c r="Q155" s="142"/>
      <c r="S155" s="141"/>
      <c r="T155" s="143"/>
    </row>
    <row r="156" spans="13:20" s="140" customFormat="1" x14ac:dyDescent="0.2">
      <c r="M156" s="141"/>
      <c r="N156" s="141"/>
      <c r="P156" s="141"/>
      <c r="Q156" s="142"/>
      <c r="S156" s="141"/>
      <c r="T156" s="143"/>
    </row>
    <row r="157" spans="13:20" s="140" customFormat="1" x14ac:dyDescent="0.2">
      <c r="M157" s="141"/>
      <c r="N157" s="141"/>
      <c r="P157" s="141"/>
      <c r="Q157" s="142"/>
      <c r="S157" s="141"/>
      <c r="T157" s="143"/>
    </row>
    <row r="158" spans="13:20" s="140" customFormat="1" x14ac:dyDescent="0.2">
      <c r="M158" s="141"/>
      <c r="N158" s="141"/>
      <c r="P158" s="141"/>
      <c r="Q158" s="142"/>
      <c r="S158" s="141"/>
      <c r="T158" s="143"/>
    </row>
    <row r="159" spans="13:20" s="140" customFormat="1" x14ac:dyDescent="0.2">
      <c r="M159" s="141"/>
      <c r="N159" s="141"/>
      <c r="P159" s="141"/>
      <c r="Q159" s="142"/>
      <c r="S159" s="141"/>
      <c r="T159" s="143"/>
    </row>
    <row r="160" spans="13:20" s="140" customFormat="1" x14ac:dyDescent="0.2">
      <c r="M160" s="141"/>
      <c r="N160" s="141"/>
      <c r="P160" s="141"/>
      <c r="Q160" s="142"/>
      <c r="S160" s="141"/>
      <c r="T160" s="143"/>
    </row>
    <row r="161" spans="13:21" s="140" customFormat="1" x14ac:dyDescent="0.2">
      <c r="M161" s="141"/>
      <c r="N161" s="141"/>
      <c r="P161" s="141"/>
      <c r="Q161" s="142"/>
      <c r="S161" s="141"/>
      <c r="T161" s="143"/>
    </row>
    <row r="162" spans="13:21" s="140" customFormat="1" x14ac:dyDescent="0.2">
      <c r="M162" s="141"/>
      <c r="N162" s="141"/>
      <c r="P162" s="141"/>
      <c r="Q162" s="142"/>
      <c r="S162" s="141"/>
      <c r="T162" s="143"/>
    </row>
    <row r="163" spans="13:21" s="140" customFormat="1" x14ac:dyDescent="0.2">
      <c r="M163" s="141"/>
      <c r="N163" s="141"/>
      <c r="P163" s="141"/>
      <c r="Q163" s="142"/>
      <c r="S163" s="141"/>
      <c r="T163" s="143"/>
    </row>
    <row r="164" spans="13:21" s="140" customFormat="1" x14ac:dyDescent="0.2">
      <c r="M164" s="141"/>
      <c r="N164" s="141"/>
      <c r="P164" s="141"/>
      <c r="Q164" s="142"/>
      <c r="S164" s="141"/>
      <c r="T164" s="143"/>
      <c r="U164" s="154"/>
    </row>
    <row r="165" spans="13:21" s="140" customFormat="1" x14ac:dyDescent="0.2">
      <c r="M165" s="141"/>
      <c r="N165" s="141"/>
      <c r="P165" s="141"/>
      <c r="Q165" s="142"/>
      <c r="S165" s="141"/>
      <c r="T165" s="143"/>
      <c r="U165" s="154"/>
    </row>
    <row r="166" spans="13:21" s="140" customFormat="1" x14ac:dyDescent="0.2">
      <c r="M166" s="141"/>
      <c r="N166" s="141"/>
      <c r="P166" s="141"/>
      <c r="Q166" s="142"/>
      <c r="S166" s="141"/>
      <c r="T166" s="143"/>
    </row>
    <row r="167" spans="13:21" s="140" customFormat="1" x14ac:dyDescent="0.2">
      <c r="M167" s="141"/>
      <c r="N167" s="141"/>
      <c r="P167" s="141"/>
      <c r="Q167" s="142"/>
      <c r="S167" s="141"/>
      <c r="T167" s="143"/>
    </row>
    <row r="168" spans="13:21" s="140" customFormat="1" x14ac:dyDescent="0.2">
      <c r="M168" s="141"/>
      <c r="N168" s="141"/>
      <c r="P168" s="141"/>
      <c r="Q168" s="142"/>
      <c r="S168" s="141"/>
      <c r="T168" s="143"/>
    </row>
    <row r="169" spans="13:21" s="140" customFormat="1" x14ac:dyDescent="0.2">
      <c r="M169" s="141"/>
      <c r="N169" s="141"/>
      <c r="P169" s="141"/>
      <c r="Q169" s="142"/>
      <c r="S169" s="141"/>
      <c r="T169" s="143"/>
    </row>
    <row r="170" spans="13:21" s="140" customFormat="1" x14ac:dyDescent="0.2">
      <c r="M170" s="141"/>
      <c r="N170" s="141"/>
      <c r="P170" s="141"/>
      <c r="Q170" s="142"/>
      <c r="S170" s="141"/>
      <c r="T170" s="143"/>
    </row>
    <row r="171" spans="13:21" s="140" customFormat="1" x14ac:dyDescent="0.2">
      <c r="M171" s="141"/>
      <c r="N171" s="141"/>
      <c r="P171" s="141"/>
      <c r="Q171" s="142"/>
      <c r="S171" s="141"/>
      <c r="T171" s="143"/>
    </row>
    <row r="172" spans="13:21" s="140" customFormat="1" x14ac:dyDescent="0.2">
      <c r="M172" s="141"/>
      <c r="N172" s="141"/>
      <c r="P172" s="141"/>
      <c r="Q172" s="142"/>
      <c r="S172" s="141"/>
      <c r="T172" s="143"/>
    </row>
    <row r="173" spans="13:21" s="140" customFormat="1" x14ac:dyDescent="0.2">
      <c r="M173" s="141"/>
      <c r="N173" s="141"/>
      <c r="P173" s="141"/>
      <c r="Q173" s="142"/>
      <c r="S173" s="141"/>
      <c r="T173" s="143"/>
    </row>
    <row r="174" spans="13:21" s="140" customFormat="1" x14ac:dyDescent="0.2">
      <c r="M174" s="141"/>
      <c r="N174" s="141"/>
      <c r="P174" s="141"/>
      <c r="Q174" s="142"/>
      <c r="S174" s="141"/>
      <c r="T174" s="143"/>
    </row>
    <row r="175" spans="13:21" s="140" customFormat="1" x14ac:dyDescent="0.2">
      <c r="M175" s="141"/>
      <c r="N175" s="141"/>
      <c r="P175" s="141"/>
      <c r="Q175" s="142"/>
      <c r="S175" s="141"/>
      <c r="T175" s="143"/>
    </row>
    <row r="176" spans="13:21" s="140" customFormat="1" x14ac:dyDescent="0.2">
      <c r="M176" s="141"/>
      <c r="N176" s="141"/>
      <c r="P176" s="141"/>
      <c r="Q176" s="142"/>
      <c r="S176" s="141"/>
      <c r="T176" s="143"/>
    </row>
    <row r="177" spans="13:20" s="140" customFormat="1" x14ac:dyDescent="0.2">
      <c r="M177" s="141"/>
      <c r="N177" s="141"/>
      <c r="P177" s="141"/>
      <c r="Q177" s="142"/>
      <c r="S177" s="141"/>
      <c r="T177" s="143"/>
    </row>
    <row r="178" spans="13:20" s="140" customFormat="1" x14ac:dyDescent="0.2">
      <c r="M178" s="141"/>
      <c r="N178" s="141"/>
      <c r="P178" s="141"/>
      <c r="Q178" s="142"/>
      <c r="S178" s="141"/>
      <c r="T178" s="143"/>
    </row>
    <row r="179" spans="13:20" s="140" customFormat="1" x14ac:dyDescent="0.2">
      <c r="M179" s="141"/>
      <c r="N179" s="141"/>
      <c r="P179" s="141"/>
      <c r="Q179" s="142"/>
      <c r="S179" s="141"/>
      <c r="T179" s="143"/>
    </row>
    <row r="180" spans="13:20" s="140" customFormat="1" x14ac:dyDescent="0.2">
      <c r="M180" s="141"/>
      <c r="N180" s="141"/>
      <c r="P180" s="141"/>
      <c r="Q180" s="142"/>
      <c r="S180" s="141"/>
      <c r="T180" s="143"/>
    </row>
    <row r="181" spans="13:20" s="140" customFormat="1" x14ac:dyDescent="0.2">
      <c r="M181" s="141"/>
      <c r="N181" s="141"/>
      <c r="P181" s="141"/>
      <c r="Q181" s="142"/>
      <c r="S181" s="141"/>
      <c r="T181" s="143"/>
    </row>
    <row r="182" spans="13:20" s="140" customFormat="1" x14ac:dyDescent="0.2">
      <c r="M182" s="141"/>
      <c r="N182" s="141"/>
      <c r="P182" s="141"/>
      <c r="Q182" s="142"/>
      <c r="S182" s="141"/>
      <c r="T182" s="143"/>
    </row>
    <row r="183" spans="13:20" s="140" customFormat="1" x14ac:dyDescent="0.2">
      <c r="M183" s="141"/>
      <c r="N183" s="141"/>
      <c r="P183" s="141"/>
      <c r="Q183" s="142"/>
      <c r="S183" s="141"/>
      <c r="T183" s="143"/>
    </row>
    <row r="184" spans="13:20" s="140" customFormat="1" x14ac:dyDescent="0.2">
      <c r="M184" s="141"/>
      <c r="N184" s="141"/>
      <c r="P184" s="141"/>
      <c r="Q184" s="142"/>
      <c r="S184" s="141"/>
      <c r="T184" s="143"/>
    </row>
    <row r="185" spans="13:20" s="140" customFormat="1" x14ac:dyDescent="0.2">
      <c r="M185" s="141"/>
      <c r="N185" s="141"/>
      <c r="P185" s="141"/>
      <c r="Q185" s="142"/>
      <c r="S185" s="141"/>
      <c r="T185" s="143"/>
    </row>
    <row r="186" spans="13:20" s="140" customFormat="1" x14ac:dyDescent="0.2">
      <c r="M186" s="141"/>
      <c r="N186" s="141"/>
      <c r="P186" s="141"/>
      <c r="Q186" s="142"/>
      <c r="S186" s="141"/>
      <c r="T186" s="143"/>
    </row>
    <row r="187" spans="13:20" s="140" customFormat="1" x14ac:dyDescent="0.2">
      <c r="M187" s="141"/>
      <c r="N187" s="141"/>
      <c r="P187" s="141"/>
      <c r="Q187" s="142"/>
      <c r="S187" s="141"/>
      <c r="T187" s="143"/>
    </row>
    <row r="188" spans="13:20" s="140" customFormat="1" x14ac:dyDescent="0.2">
      <c r="M188" s="141"/>
      <c r="N188" s="141"/>
      <c r="P188" s="141"/>
      <c r="Q188" s="142"/>
      <c r="S188" s="141"/>
      <c r="T188" s="143"/>
    </row>
    <row r="189" spans="13:20" s="140" customFormat="1" x14ac:dyDescent="0.2">
      <c r="M189" s="141"/>
      <c r="N189" s="141"/>
      <c r="P189" s="141"/>
      <c r="Q189" s="142"/>
      <c r="S189" s="141"/>
      <c r="T189" s="143"/>
    </row>
    <row r="190" spans="13:20" s="140" customFormat="1" x14ac:dyDescent="0.2">
      <c r="M190" s="141"/>
      <c r="N190" s="141"/>
      <c r="P190" s="141"/>
      <c r="Q190" s="142"/>
      <c r="S190" s="141"/>
      <c r="T190" s="143"/>
    </row>
    <row r="191" spans="13:20" s="140" customFormat="1" x14ac:dyDescent="0.2">
      <c r="M191" s="141"/>
      <c r="N191" s="141"/>
      <c r="P191" s="141"/>
      <c r="Q191" s="142"/>
      <c r="S191" s="141"/>
      <c r="T191" s="143"/>
    </row>
    <row r="192" spans="13:20" s="140" customFormat="1" x14ac:dyDescent="0.2">
      <c r="M192" s="141"/>
      <c r="N192" s="141"/>
      <c r="P192" s="141"/>
      <c r="Q192" s="142"/>
      <c r="S192" s="141"/>
      <c r="T192" s="143"/>
    </row>
    <row r="193" spans="13:20" s="140" customFormat="1" x14ac:dyDescent="0.2">
      <c r="M193" s="141"/>
      <c r="N193" s="141"/>
      <c r="P193" s="141"/>
      <c r="Q193" s="142"/>
      <c r="S193" s="141"/>
      <c r="T193" s="143"/>
    </row>
    <row r="194" spans="13:20" s="140" customFormat="1" x14ac:dyDescent="0.2">
      <c r="M194" s="141"/>
      <c r="N194" s="141"/>
      <c r="P194" s="141"/>
      <c r="Q194" s="142"/>
      <c r="S194" s="141"/>
      <c r="T194" s="143"/>
    </row>
    <row r="195" spans="13:20" s="140" customFormat="1" x14ac:dyDescent="0.2">
      <c r="M195" s="141"/>
      <c r="N195" s="141"/>
      <c r="P195" s="141"/>
      <c r="Q195" s="142"/>
      <c r="S195" s="141"/>
      <c r="T195" s="143"/>
    </row>
    <row r="196" spans="13:20" s="140" customFormat="1" x14ac:dyDescent="0.2">
      <c r="M196" s="141"/>
      <c r="N196" s="141"/>
      <c r="P196" s="141"/>
      <c r="Q196" s="142"/>
      <c r="S196" s="141"/>
      <c r="T196" s="143"/>
    </row>
    <row r="197" spans="13:20" s="140" customFormat="1" x14ac:dyDescent="0.2">
      <c r="M197" s="141"/>
      <c r="N197" s="141"/>
      <c r="P197" s="141"/>
      <c r="Q197" s="142"/>
      <c r="S197" s="141"/>
      <c r="T197" s="143"/>
    </row>
    <row r="198" spans="13:20" s="140" customFormat="1" x14ac:dyDescent="0.2">
      <c r="M198" s="141"/>
      <c r="N198" s="141"/>
      <c r="P198" s="141"/>
      <c r="Q198" s="142"/>
      <c r="S198" s="141"/>
      <c r="T198" s="143"/>
    </row>
    <row r="199" spans="13:20" s="140" customFormat="1" x14ac:dyDescent="0.2">
      <c r="M199" s="141"/>
      <c r="N199" s="141"/>
      <c r="P199" s="141"/>
      <c r="Q199" s="142"/>
      <c r="S199" s="141"/>
      <c r="T199" s="143"/>
    </row>
    <row r="200" spans="13:20" s="140" customFormat="1" x14ac:dyDescent="0.2">
      <c r="M200" s="141"/>
      <c r="N200" s="141"/>
      <c r="P200" s="141"/>
      <c r="Q200" s="142"/>
      <c r="S200" s="141"/>
      <c r="T200" s="143"/>
    </row>
    <row r="201" spans="13:20" s="140" customFormat="1" x14ac:dyDescent="0.2">
      <c r="M201" s="141"/>
      <c r="N201" s="141"/>
      <c r="P201" s="141"/>
      <c r="Q201" s="142"/>
      <c r="S201" s="141"/>
      <c r="T201" s="143"/>
    </row>
    <row r="202" spans="13:20" s="140" customFormat="1" x14ac:dyDescent="0.2">
      <c r="M202" s="141"/>
      <c r="N202" s="141"/>
      <c r="P202" s="141"/>
      <c r="Q202" s="142"/>
      <c r="S202" s="141"/>
      <c r="T202" s="143"/>
    </row>
    <row r="203" spans="13:20" s="140" customFormat="1" x14ac:dyDescent="0.2">
      <c r="M203" s="141"/>
      <c r="N203" s="141"/>
      <c r="P203" s="141"/>
      <c r="Q203" s="142"/>
      <c r="S203" s="141"/>
      <c r="T203" s="143"/>
    </row>
    <row r="204" spans="13:20" s="140" customFormat="1" x14ac:dyDescent="0.2">
      <c r="M204" s="141"/>
      <c r="N204" s="141"/>
      <c r="P204" s="141"/>
      <c r="Q204" s="142"/>
      <c r="S204" s="141"/>
      <c r="T204" s="143"/>
    </row>
    <row r="205" spans="13:20" s="140" customFormat="1" x14ac:dyDescent="0.2">
      <c r="M205" s="141"/>
      <c r="N205" s="141"/>
      <c r="P205" s="141"/>
      <c r="Q205" s="142"/>
      <c r="S205" s="141"/>
      <c r="T205" s="143"/>
    </row>
    <row r="206" spans="13:20" s="140" customFormat="1" x14ac:dyDescent="0.2">
      <c r="M206" s="141"/>
      <c r="N206" s="141"/>
      <c r="P206" s="141"/>
      <c r="Q206" s="142"/>
      <c r="S206" s="141"/>
      <c r="T206" s="143"/>
    </row>
    <row r="207" spans="13:20" s="140" customFormat="1" x14ac:dyDescent="0.2">
      <c r="M207" s="141"/>
      <c r="N207" s="141"/>
      <c r="P207" s="141"/>
      <c r="Q207" s="142"/>
      <c r="S207" s="141"/>
      <c r="T207" s="143"/>
    </row>
    <row r="208" spans="13:20" s="140" customFormat="1" x14ac:dyDescent="0.2">
      <c r="M208" s="141"/>
      <c r="N208" s="141"/>
      <c r="P208" s="141"/>
      <c r="Q208" s="142"/>
      <c r="S208" s="141"/>
      <c r="T208" s="143"/>
    </row>
    <row r="209" spans="13:20" s="140" customFormat="1" x14ac:dyDescent="0.2">
      <c r="M209" s="141"/>
      <c r="N209" s="141"/>
      <c r="P209" s="141"/>
      <c r="Q209" s="142"/>
      <c r="S209" s="141"/>
      <c r="T209" s="143"/>
    </row>
    <row r="210" spans="13:20" s="140" customFormat="1" x14ac:dyDescent="0.2">
      <c r="M210" s="141"/>
      <c r="N210" s="141"/>
      <c r="P210" s="141"/>
      <c r="Q210" s="142"/>
      <c r="S210" s="141"/>
      <c r="T210" s="143"/>
    </row>
    <row r="211" spans="13:20" s="140" customFormat="1" x14ac:dyDescent="0.2">
      <c r="M211" s="141"/>
      <c r="N211" s="141"/>
      <c r="P211" s="141"/>
      <c r="Q211" s="142"/>
      <c r="S211" s="141"/>
      <c r="T211" s="143"/>
    </row>
    <row r="212" spans="13:20" s="140" customFormat="1" x14ac:dyDescent="0.2">
      <c r="M212" s="141"/>
      <c r="N212" s="141"/>
      <c r="P212" s="141"/>
      <c r="Q212" s="142"/>
      <c r="S212" s="141"/>
      <c r="T212" s="143"/>
    </row>
    <row r="213" spans="13:20" s="140" customFormat="1" x14ac:dyDescent="0.2">
      <c r="M213" s="141"/>
      <c r="N213" s="141"/>
      <c r="P213" s="141"/>
      <c r="Q213" s="142"/>
      <c r="S213" s="141"/>
      <c r="T213" s="143"/>
    </row>
    <row r="214" spans="13:20" s="140" customFormat="1" x14ac:dyDescent="0.2">
      <c r="M214" s="141"/>
      <c r="N214" s="141"/>
      <c r="P214" s="141"/>
      <c r="Q214" s="142"/>
      <c r="S214" s="141"/>
      <c r="T214" s="143"/>
    </row>
    <row r="215" spans="13:20" s="140" customFormat="1" x14ac:dyDescent="0.2">
      <c r="M215" s="141"/>
      <c r="N215" s="141"/>
      <c r="P215" s="141"/>
      <c r="Q215" s="142"/>
      <c r="S215" s="141"/>
      <c r="T215" s="143"/>
    </row>
    <row r="216" spans="13:20" s="140" customFormat="1" x14ac:dyDescent="0.2">
      <c r="M216" s="141"/>
      <c r="N216" s="141"/>
      <c r="P216" s="141"/>
      <c r="Q216" s="142"/>
      <c r="S216" s="141"/>
      <c r="T216" s="143"/>
    </row>
    <row r="217" spans="13:20" s="140" customFormat="1" x14ac:dyDescent="0.2">
      <c r="M217" s="141"/>
      <c r="N217" s="141"/>
      <c r="P217" s="141"/>
      <c r="Q217" s="142"/>
      <c r="S217" s="141"/>
      <c r="T217" s="143"/>
    </row>
    <row r="218" spans="13:20" s="140" customFormat="1" x14ac:dyDescent="0.2">
      <c r="M218" s="141"/>
      <c r="N218" s="141"/>
      <c r="P218" s="141"/>
      <c r="Q218" s="142"/>
      <c r="S218" s="141"/>
      <c r="T218" s="143"/>
    </row>
    <row r="219" spans="13:20" s="140" customFormat="1" x14ac:dyDescent="0.2">
      <c r="M219" s="141"/>
      <c r="N219" s="141"/>
      <c r="P219" s="141"/>
      <c r="Q219" s="142"/>
      <c r="S219" s="141"/>
      <c r="T219" s="143"/>
    </row>
    <row r="220" spans="13:20" s="140" customFormat="1" x14ac:dyDescent="0.2">
      <c r="M220" s="141"/>
      <c r="N220" s="141"/>
      <c r="P220" s="141"/>
      <c r="Q220" s="142"/>
      <c r="S220" s="141"/>
      <c r="T220" s="143"/>
    </row>
    <row r="221" spans="13:20" s="140" customFormat="1" x14ac:dyDescent="0.2">
      <c r="M221" s="141"/>
      <c r="N221" s="141"/>
      <c r="P221" s="141"/>
      <c r="Q221" s="142"/>
      <c r="S221" s="141"/>
      <c r="T221" s="143"/>
    </row>
    <row r="222" spans="13:20" s="140" customFormat="1" x14ac:dyDescent="0.2">
      <c r="M222" s="141"/>
      <c r="N222" s="141"/>
      <c r="P222" s="141"/>
      <c r="Q222" s="142"/>
      <c r="S222" s="141"/>
      <c r="T222" s="143"/>
    </row>
    <row r="223" spans="13:20" s="140" customFormat="1" x14ac:dyDescent="0.2">
      <c r="M223" s="141"/>
      <c r="N223" s="141"/>
      <c r="P223" s="141"/>
      <c r="Q223" s="142"/>
      <c r="S223" s="141"/>
      <c r="T223" s="143"/>
    </row>
    <row r="224" spans="13:20" s="140" customFormat="1" x14ac:dyDescent="0.2">
      <c r="M224" s="141"/>
      <c r="N224" s="141"/>
      <c r="P224" s="141"/>
      <c r="Q224" s="142"/>
      <c r="S224" s="141"/>
      <c r="T224" s="143"/>
    </row>
    <row r="225" spans="13:20" s="140" customFormat="1" x14ac:dyDescent="0.2">
      <c r="M225" s="141"/>
      <c r="N225" s="141"/>
      <c r="P225" s="141"/>
      <c r="Q225" s="142"/>
      <c r="S225" s="141"/>
      <c r="T225" s="143"/>
    </row>
    <row r="226" spans="13:20" s="140" customFormat="1" x14ac:dyDescent="0.2">
      <c r="M226" s="141"/>
      <c r="N226" s="141"/>
      <c r="P226" s="141"/>
      <c r="Q226" s="142"/>
      <c r="S226" s="141"/>
      <c r="T226" s="143"/>
    </row>
    <row r="227" spans="13:20" s="140" customFormat="1" x14ac:dyDescent="0.2">
      <c r="M227" s="141"/>
      <c r="N227" s="141"/>
      <c r="P227" s="141"/>
      <c r="Q227" s="142"/>
      <c r="S227" s="141"/>
      <c r="T227" s="143"/>
    </row>
    <row r="228" spans="13:20" s="140" customFormat="1" x14ac:dyDescent="0.2">
      <c r="M228" s="141"/>
      <c r="N228" s="141"/>
      <c r="P228" s="141"/>
      <c r="Q228" s="142"/>
      <c r="S228" s="141"/>
      <c r="T228" s="143"/>
    </row>
    <row r="229" spans="13:20" s="140" customFormat="1" x14ac:dyDescent="0.2">
      <c r="M229" s="141"/>
      <c r="N229" s="141"/>
      <c r="P229" s="141"/>
      <c r="Q229" s="142"/>
      <c r="S229" s="141"/>
      <c r="T229" s="143"/>
    </row>
    <row r="230" spans="13:20" s="140" customFormat="1" x14ac:dyDescent="0.2">
      <c r="M230" s="141"/>
      <c r="N230" s="141"/>
      <c r="P230" s="141"/>
      <c r="Q230" s="142"/>
      <c r="S230" s="141"/>
      <c r="T230" s="143"/>
    </row>
    <row r="231" spans="13:20" s="140" customFormat="1" x14ac:dyDescent="0.2">
      <c r="M231" s="141"/>
      <c r="N231" s="141"/>
      <c r="P231" s="141"/>
      <c r="Q231" s="142"/>
      <c r="S231" s="141"/>
      <c r="T231" s="143"/>
    </row>
    <row r="232" spans="13:20" s="140" customFormat="1" x14ac:dyDescent="0.2">
      <c r="M232" s="141"/>
      <c r="N232" s="141"/>
      <c r="P232" s="141"/>
      <c r="Q232" s="142"/>
      <c r="S232" s="141"/>
      <c r="T232" s="143"/>
    </row>
    <row r="233" spans="13:20" s="140" customFormat="1" x14ac:dyDescent="0.2">
      <c r="M233" s="141"/>
      <c r="N233" s="141"/>
      <c r="P233" s="141"/>
      <c r="Q233" s="142"/>
      <c r="S233" s="141"/>
      <c r="T233" s="143"/>
    </row>
    <row r="234" spans="13:20" s="140" customFormat="1" x14ac:dyDescent="0.2">
      <c r="M234" s="141"/>
      <c r="N234" s="141"/>
      <c r="P234" s="141"/>
      <c r="Q234" s="142"/>
      <c r="S234" s="141"/>
      <c r="T234" s="143"/>
    </row>
    <row r="235" spans="13:20" s="140" customFormat="1" x14ac:dyDescent="0.2">
      <c r="M235" s="141"/>
      <c r="N235" s="141"/>
      <c r="P235" s="141"/>
      <c r="Q235" s="142"/>
      <c r="S235" s="141"/>
      <c r="T235" s="143"/>
    </row>
    <row r="236" spans="13:20" s="140" customFormat="1" x14ac:dyDescent="0.2">
      <c r="M236" s="141"/>
      <c r="N236" s="141"/>
      <c r="P236" s="141"/>
      <c r="Q236" s="142"/>
      <c r="S236" s="141"/>
      <c r="T236" s="143"/>
    </row>
    <row r="237" spans="13:20" s="140" customFormat="1" x14ac:dyDescent="0.2">
      <c r="M237" s="141"/>
      <c r="N237" s="141"/>
      <c r="P237" s="141"/>
      <c r="Q237" s="142"/>
      <c r="S237" s="141"/>
      <c r="T237" s="143"/>
    </row>
    <row r="238" spans="13:20" s="140" customFormat="1" x14ac:dyDescent="0.2">
      <c r="M238" s="141"/>
      <c r="N238" s="141"/>
      <c r="P238" s="141"/>
      <c r="Q238" s="142"/>
      <c r="S238" s="141"/>
      <c r="T238" s="143"/>
    </row>
    <row r="239" spans="13:20" s="140" customFormat="1" x14ac:dyDescent="0.2">
      <c r="M239" s="141"/>
      <c r="N239" s="141"/>
      <c r="P239" s="141"/>
      <c r="Q239" s="142"/>
      <c r="S239" s="141"/>
      <c r="T239" s="143"/>
    </row>
    <row r="240" spans="13:20" s="140" customFormat="1" x14ac:dyDescent="0.2">
      <c r="M240" s="141"/>
      <c r="N240" s="141"/>
      <c r="P240" s="141"/>
      <c r="Q240" s="142"/>
      <c r="S240" s="141"/>
      <c r="T240" s="143"/>
    </row>
    <row r="241" spans="13:20" s="140" customFormat="1" x14ac:dyDescent="0.2">
      <c r="M241" s="141"/>
      <c r="N241" s="141"/>
      <c r="P241" s="141"/>
      <c r="Q241" s="142"/>
      <c r="S241" s="141"/>
      <c r="T241" s="143"/>
    </row>
    <row r="242" spans="13:20" s="140" customFormat="1" x14ac:dyDescent="0.2">
      <c r="M242" s="141"/>
      <c r="N242" s="141"/>
      <c r="P242" s="141"/>
      <c r="Q242" s="142"/>
      <c r="S242" s="141"/>
      <c r="T242" s="143"/>
    </row>
    <row r="243" spans="13:20" s="140" customFormat="1" x14ac:dyDescent="0.2">
      <c r="M243" s="141"/>
      <c r="N243" s="141"/>
      <c r="P243" s="141"/>
      <c r="Q243" s="142"/>
      <c r="S243" s="141"/>
      <c r="T243" s="143"/>
    </row>
    <row r="244" spans="13:20" s="140" customFormat="1" x14ac:dyDescent="0.2">
      <c r="M244" s="141"/>
      <c r="N244" s="141"/>
      <c r="P244" s="141"/>
      <c r="Q244" s="142"/>
      <c r="S244" s="141"/>
      <c r="T244" s="143"/>
    </row>
    <row r="245" spans="13:20" s="140" customFormat="1" x14ac:dyDescent="0.2">
      <c r="M245" s="141"/>
      <c r="N245" s="141"/>
      <c r="P245" s="141"/>
      <c r="Q245" s="142"/>
      <c r="S245" s="141"/>
      <c r="T245" s="143"/>
    </row>
    <row r="246" spans="13:20" s="140" customFormat="1" x14ac:dyDescent="0.2">
      <c r="M246" s="141"/>
      <c r="N246" s="141"/>
      <c r="P246" s="141"/>
      <c r="Q246" s="142"/>
      <c r="S246" s="141"/>
      <c r="T246" s="143"/>
    </row>
    <row r="247" spans="13:20" s="140" customFormat="1" x14ac:dyDescent="0.2">
      <c r="M247" s="141"/>
      <c r="N247" s="141"/>
      <c r="P247" s="141"/>
      <c r="Q247" s="142"/>
      <c r="S247" s="141"/>
      <c r="T247" s="143"/>
    </row>
    <row r="248" spans="13:20" s="140" customFormat="1" x14ac:dyDescent="0.2">
      <c r="M248" s="141"/>
      <c r="N248" s="141"/>
      <c r="P248" s="141"/>
      <c r="Q248" s="142"/>
      <c r="S248" s="141"/>
      <c r="T248" s="143"/>
    </row>
    <row r="249" spans="13:20" s="140" customFormat="1" x14ac:dyDescent="0.2">
      <c r="M249" s="141"/>
      <c r="N249" s="141"/>
      <c r="P249" s="141"/>
      <c r="Q249" s="142"/>
      <c r="S249" s="141"/>
      <c r="T249" s="143"/>
    </row>
    <row r="250" spans="13:20" s="140" customFormat="1" x14ac:dyDescent="0.2">
      <c r="M250" s="141"/>
      <c r="N250" s="141"/>
      <c r="P250" s="141"/>
      <c r="Q250" s="142"/>
      <c r="S250" s="141"/>
      <c r="T250" s="143"/>
    </row>
    <row r="251" spans="13:20" s="140" customFormat="1" x14ac:dyDescent="0.2">
      <c r="M251" s="141"/>
      <c r="N251" s="141"/>
      <c r="P251" s="141"/>
      <c r="Q251" s="142"/>
      <c r="S251" s="141"/>
      <c r="T251" s="143"/>
    </row>
    <row r="252" spans="13:20" s="140" customFormat="1" x14ac:dyDescent="0.2">
      <c r="M252" s="141"/>
      <c r="N252" s="141"/>
      <c r="P252" s="141"/>
      <c r="Q252" s="142"/>
      <c r="S252" s="141"/>
      <c r="T252" s="143"/>
    </row>
    <row r="253" spans="13:20" s="140" customFormat="1" x14ac:dyDescent="0.2">
      <c r="M253" s="141"/>
      <c r="N253" s="141"/>
      <c r="P253" s="141"/>
      <c r="Q253" s="142"/>
      <c r="S253" s="141"/>
      <c r="T253" s="143"/>
    </row>
    <row r="254" spans="13:20" s="140" customFormat="1" x14ac:dyDescent="0.2">
      <c r="M254" s="141"/>
      <c r="N254" s="141"/>
      <c r="P254" s="141"/>
      <c r="Q254" s="142"/>
      <c r="S254" s="141"/>
      <c r="T254" s="143"/>
    </row>
    <row r="255" spans="13:20" s="140" customFormat="1" x14ac:dyDescent="0.2">
      <c r="M255" s="141"/>
      <c r="N255" s="141"/>
      <c r="P255" s="141"/>
      <c r="Q255" s="142"/>
      <c r="S255" s="141"/>
      <c r="T255" s="143"/>
    </row>
    <row r="256" spans="13:20" s="140" customFormat="1" x14ac:dyDescent="0.2">
      <c r="M256" s="141"/>
      <c r="N256" s="141"/>
      <c r="P256" s="141"/>
      <c r="Q256" s="142"/>
      <c r="S256" s="141"/>
      <c r="T256" s="143"/>
    </row>
    <row r="257" spans="13:20" s="140" customFormat="1" x14ac:dyDescent="0.2">
      <c r="M257" s="141"/>
      <c r="N257" s="141"/>
      <c r="P257" s="141"/>
      <c r="Q257" s="142"/>
      <c r="S257" s="141"/>
      <c r="T257" s="143"/>
    </row>
    <row r="258" spans="13:20" s="140" customFormat="1" x14ac:dyDescent="0.2">
      <c r="M258" s="141"/>
      <c r="N258" s="141"/>
      <c r="P258" s="141"/>
      <c r="Q258" s="142"/>
      <c r="S258" s="141"/>
      <c r="T258" s="143"/>
    </row>
    <row r="259" spans="13:20" s="140" customFormat="1" x14ac:dyDescent="0.2">
      <c r="M259" s="141"/>
      <c r="N259" s="141"/>
      <c r="P259" s="141"/>
      <c r="Q259" s="142"/>
      <c r="S259" s="141"/>
      <c r="T259" s="143"/>
    </row>
    <row r="260" spans="13:20" s="140" customFormat="1" x14ac:dyDescent="0.2">
      <c r="M260" s="141"/>
      <c r="N260" s="141"/>
      <c r="P260" s="141"/>
      <c r="Q260" s="142"/>
      <c r="S260" s="141"/>
      <c r="T260" s="143"/>
    </row>
    <row r="261" spans="13:20" s="140" customFormat="1" x14ac:dyDescent="0.2">
      <c r="M261" s="141"/>
      <c r="N261" s="141"/>
      <c r="P261" s="141"/>
      <c r="Q261" s="142"/>
      <c r="S261" s="141"/>
      <c r="T261" s="143"/>
    </row>
    <row r="262" spans="13:20" s="140" customFormat="1" x14ac:dyDescent="0.2">
      <c r="M262" s="141"/>
      <c r="N262" s="141"/>
      <c r="P262" s="141"/>
      <c r="Q262" s="142"/>
      <c r="S262" s="141"/>
      <c r="T262" s="143"/>
    </row>
    <row r="263" spans="13:20" s="140" customFormat="1" x14ac:dyDescent="0.2">
      <c r="M263" s="141"/>
      <c r="N263" s="141"/>
      <c r="P263" s="141"/>
      <c r="Q263" s="142"/>
      <c r="S263" s="141"/>
      <c r="T263" s="143"/>
    </row>
    <row r="264" spans="13:20" s="140" customFormat="1" x14ac:dyDescent="0.2">
      <c r="M264" s="141"/>
      <c r="N264" s="141"/>
      <c r="P264" s="141"/>
      <c r="Q264" s="142"/>
      <c r="S264" s="141"/>
      <c r="T264" s="143"/>
    </row>
    <row r="265" spans="13:20" s="140" customFormat="1" x14ac:dyDescent="0.2">
      <c r="M265" s="141"/>
      <c r="N265" s="141"/>
      <c r="P265" s="141"/>
      <c r="Q265" s="142"/>
      <c r="S265" s="141"/>
      <c r="T265" s="143"/>
    </row>
    <row r="266" spans="13:20" s="140" customFormat="1" x14ac:dyDescent="0.2">
      <c r="M266" s="141"/>
      <c r="N266" s="141"/>
      <c r="P266" s="141"/>
      <c r="Q266" s="142"/>
      <c r="S266" s="141"/>
      <c r="T266" s="143"/>
    </row>
    <row r="267" spans="13:20" s="140" customFormat="1" x14ac:dyDescent="0.2">
      <c r="M267" s="141"/>
      <c r="N267" s="141"/>
      <c r="P267" s="141"/>
      <c r="Q267" s="142"/>
      <c r="S267" s="141"/>
      <c r="T267" s="143"/>
    </row>
    <row r="268" spans="13:20" s="140" customFormat="1" x14ac:dyDescent="0.2">
      <c r="M268" s="141"/>
      <c r="N268" s="141"/>
      <c r="P268" s="141"/>
      <c r="Q268" s="142"/>
      <c r="S268" s="141"/>
      <c r="T268" s="143"/>
    </row>
    <row r="269" spans="13:20" s="140" customFormat="1" x14ac:dyDescent="0.2">
      <c r="M269" s="141"/>
      <c r="N269" s="141"/>
      <c r="P269" s="141"/>
      <c r="Q269" s="142"/>
      <c r="S269" s="141"/>
      <c r="T269" s="143"/>
    </row>
    <row r="270" spans="13:20" s="140" customFormat="1" x14ac:dyDescent="0.2">
      <c r="M270" s="141"/>
      <c r="N270" s="141"/>
      <c r="P270" s="141"/>
      <c r="Q270" s="142"/>
      <c r="S270" s="141"/>
      <c r="T270" s="143"/>
    </row>
    <row r="271" spans="13:20" s="140" customFormat="1" x14ac:dyDescent="0.2">
      <c r="M271" s="141"/>
      <c r="N271" s="141"/>
      <c r="P271" s="141"/>
      <c r="Q271" s="142"/>
      <c r="S271" s="141"/>
      <c r="T271" s="143"/>
    </row>
    <row r="272" spans="13:20" s="140" customFormat="1" x14ac:dyDescent="0.2">
      <c r="M272" s="141"/>
      <c r="N272" s="141"/>
      <c r="P272" s="141"/>
      <c r="Q272" s="142"/>
      <c r="S272" s="141"/>
      <c r="T272" s="143"/>
    </row>
    <row r="273" spans="13:20" s="140" customFormat="1" x14ac:dyDescent="0.2">
      <c r="M273" s="141"/>
      <c r="N273" s="141"/>
      <c r="P273" s="141"/>
      <c r="Q273" s="142"/>
      <c r="S273" s="141"/>
      <c r="T273" s="143"/>
    </row>
    <row r="274" spans="13:20" s="140" customFormat="1" x14ac:dyDescent="0.2">
      <c r="M274" s="141"/>
      <c r="N274" s="141"/>
      <c r="P274" s="141"/>
      <c r="Q274" s="142"/>
      <c r="S274" s="141"/>
      <c r="T274" s="143"/>
    </row>
    <row r="275" spans="13:20" s="140" customFormat="1" x14ac:dyDescent="0.2">
      <c r="M275" s="141"/>
      <c r="N275" s="141"/>
      <c r="P275" s="141"/>
      <c r="Q275" s="142"/>
      <c r="S275" s="141"/>
      <c r="T275" s="143"/>
    </row>
    <row r="276" spans="13:20" s="140" customFormat="1" x14ac:dyDescent="0.2">
      <c r="M276" s="141"/>
      <c r="N276" s="141"/>
      <c r="P276" s="141"/>
      <c r="Q276" s="142"/>
      <c r="S276" s="141"/>
      <c r="T276" s="143"/>
    </row>
    <row r="277" spans="13:20" s="140" customFormat="1" x14ac:dyDescent="0.2">
      <c r="M277" s="141"/>
      <c r="N277" s="141"/>
      <c r="P277" s="141"/>
      <c r="Q277" s="142"/>
      <c r="S277" s="141"/>
      <c r="T277" s="143"/>
    </row>
    <row r="278" spans="13:20" s="140" customFormat="1" x14ac:dyDescent="0.2">
      <c r="M278" s="141"/>
      <c r="N278" s="141"/>
      <c r="P278" s="141"/>
      <c r="Q278" s="142"/>
      <c r="S278" s="141"/>
      <c r="T278" s="143"/>
    </row>
    <row r="279" spans="13:20" s="140" customFormat="1" x14ac:dyDescent="0.2">
      <c r="M279" s="141"/>
      <c r="N279" s="141"/>
      <c r="P279" s="141"/>
      <c r="Q279" s="142"/>
      <c r="S279" s="141"/>
      <c r="T279" s="143"/>
    </row>
    <row r="280" spans="13:20" s="140" customFormat="1" x14ac:dyDescent="0.2">
      <c r="M280" s="141"/>
      <c r="N280" s="141"/>
      <c r="P280" s="141"/>
      <c r="Q280" s="142"/>
      <c r="S280" s="141"/>
      <c r="T280" s="143"/>
    </row>
    <row r="281" spans="13:20" s="140" customFormat="1" x14ac:dyDescent="0.2">
      <c r="M281" s="141"/>
      <c r="N281" s="141"/>
      <c r="P281" s="141"/>
      <c r="Q281" s="142"/>
      <c r="S281" s="141"/>
      <c r="T281" s="143"/>
    </row>
    <row r="282" spans="13:20" s="140" customFormat="1" x14ac:dyDescent="0.2">
      <c r="M282" s="141"/>
      <c r="N282" s="141"/>
      <c r="P282" s="141"/>
      <c r="Q282" s="142"/>
      <c r="S282" s="141"/>
      <c r="T282" s="143"/>
    </row>
    <row r="283" spans="13:20" s="140" customFormat="1" x14ac:dyDescent="0.2">
      <c r="M283" s="141"/>
      <c r="N283" s="141"/>
      <c r="P283" s="141"/>
      <c r="Q283" s="142"/>
      <c r="S283" s="141"/>
      <c r="T283" s="143"/>
    </row>
    <row r="284" spans="13:20" s="140" customFormat="1" x14ac:dyDescent="0.2">
      <c r="M284" s="141"/>
      <c r="N284" s="141"/>
      <c r="P284" s="141"/>
      <c r="Q284" s="142"/>
      <c r="S284" s="141"/>
      <c r="T284" s="143"/>
    </row>
    <row r="285" spans="13:20" s="140" customFormat="1" x14ac:dyDescent="0.2">
      <c r="M285" s="141"/>
      <c r="N285" s="141"/>
      <c r="P285" s="141"/>
      <c r="Q285" s="142"/>
      <c r="S285" s="141"/>
      <c r="T285" s="143"/>
    </row>
    <row r="286" spans="13:20" s="140" customFormat="1" x14ac:dyDescent="0.2">
      <c r="M286" s="141"/>
      <c r="N286" s="141"/>
      <c r="P286" s="141"/>
      <c r="Q286" s="142"/>
      <c r="S286" s="141"/>
      <c r="T286" s="143"/>
    </row>
    <row r="287" spans="13:20" s="140" customFormat="1" x14ac:dyDescent="0.2">
      <c r="M287" s="141"/>
      <c r="N287" s="141"/>
      <c r="P287" s="141"/>
      <c r="Q287" s="142"/>
      <c r="S287" s="141"/>
      <c r="T287" s="143"/>
    </row>
    <row r="288" spans="13:20" s="140" customFormat="1" x14ac:dyDescent="0.2">
      <c r="M288" s="141"/>
      <c r="N288" s="141"/>
      <c r="P288" s="141"/>
      <c r="Q288" s="142"/>
      <c r="S288" s="141"/>
      <c r="T288" s="143"/>
    </row>
    <row r="289" spans="13:20" s="140" customFormat="1" x14ac:dyDescent="0.2">
      <c r="M289" s="141"/>
      <c r="N289" s="141"/>
      <c r="P289" s="141"/>
      <c r="Q289" s="142"/>
      <c r="S289" s="141"/>
      <c r="T289" s="143"/>
    </row>
    <row r="290" spans="13:20" s="140" customFormat="1" x14ac:dyDescent="0.2">
      <c r="M290" s="141"/>
      <c r="N290" s="141"/>
      <c r="P290" s="141"/>
      <c r="Q290" s="142"/>
      <c r="S290" s="141"/>
      <c r="T290" s="143"/>
    </row>
    <row r="291" spans="13:20" s="140" customFormat="1" x14ac:dyDescent="0.2">
      <c r="M291" s="141"/>
      <c r="N291" s="141"/>
      <c r="P291" s="141"/>
      <c r="Q291" s="142"/>
      <c r="S291" s="141"/>
      <c r="T291" s="143"/>
    </row>
    <row r="292" spans="13:20" s="140" customFormat="1" x14ac:dyDescent="0.2">
      <c r="M292" s="141"/>
      <c r="N292" s="141"/>
      <c r="P292" s="141"/>
      <c r="Q292" s="142"/>
      <c r="S292" s="141"/>
      <c r="T292" s="143"/>
    </row>
    <row r="293" spans="13:20" s="140" customFormat="1" x14ac:dyDescent="0.2">
      <c r="M293" s="141"/>
      <c r="N293" s="141"/>
      <c r="P293" s="141"/>
      <c r="Q293" s="142"/>
      <c r="S293" s="141"/>
      <c r="T293" s="143"/>
    </row>
    <row r="294" spans="13:20" s="140" customFormat="1" x14ac:dyDescent="0.2">
      <c r="M294" s="141"/>
      <c r="N294" s="141"/>
      <c r="P294" s="141"/>
      <c r="Q294" s="142"/>
      <c r="S294" s="141"/>
      <c r="T294" s="143"/>
    </row>
    <row r="295" spans="13:20" s="140" customFormat="1" x14ac:dyDescent="0.2">
      <c r="M295" s="141"/>
      <c r="N295" s="141"/>
      <c r="P295" s="141"/>
      <c r="Q295" s="142"/>
      <c r="S295" s="141"/>
      <c r="T295" s="143"/>
    </row>
    <row r="296" spans="13:20" s="140" customFormat="1" x14ac:dyDescent="0.2">
      <c r="M296" s="141"/>
      <c r="N296" s="141"/>
      <c r="P296" s="141"/>
      <c r="Q296" s="142"/>
      <c r="S296" s="141"/>
      <c r="T296" s="143"/>
    </row>
    <row r="297" spans="13:20" s="140" customFormat="1" x14ac:dyDescent="0.2">
      <c r="M297" s="141"/>
      <c r="N297" s="141"/>
      <c r="P297" s="141"/>
      <c r="Q297" s="142"/>
      <c r="S297" s="141"/>
      <c r="T297" s="143"/>
    </row>
    <row r="298" spans="13:20" s="140" customFormat="1" x14ac:dyDescent="0.2">
      <c r="M298" s="141"/>
      <c r="N298" s="141"/>
      <c r="P298" s="141"/>
      <c r="Q298" s="142"/>
      <c r="S298" s="141"/>
      <c r="T298" s="143"/>
    </row>
    <row r="299" spans="13:20" s="140" customFormat="1" x14ac:dyDescent="0.2">
      <c r="M299" s="141"/>
      <c r="N299" s="141"/>
      <c r="P299" s="141"/>
      <c r="Q299" s="142"/>
      <c r="S299" s="141"/>
      <c r="T299" s="143"/>
    </row>
    <row r="300" spans="13:20" s="140" customFormat="1" x14ac:dyDescent="0.2">
      <c r="M300" s="141"/>
      <c r="N300" s="141"/>
      <c r="P300" s="141"/>
      <c r="Q300" s="142"/>
      <c r="S300" s="141"/>
      <c r="T300" s="143"/>
    </row>
    <row r="301" spans="13:20" s="140" customFormat="1" x14ac:dyDescent="0.2">
      <c r="M301" s="141"/>
      <c r="N301" s="141"/>
      <c r="P301" s="141"/>
      <c r="Q301" s="142"/>
      <c r="S301" s="141"/>
      <c r="T301" s="143"/>
    </row>
    <row r="302" spans="13:20" s="140" customFormat="1" x14ac:dyDescent="0.2">
      <c r="M302" s="141"/>
      <c r="N302" s="141"/>
      <c r="P302" s="141"/>
      <c r="Q302" s="142"/>
      <c r="S302" s="141"/>
      <c r="T302" s="143"/>
    </row>
    <row r="303" spans="13:20" s="140" customFormat="1" x14ac:dyDescent="0.2">
      <c r="M303" s="141"/>
      <c r="N303" s="141"/>
      <c r="P303" s="141"/>
      <c r="Q303" s="142"/>
      <c r="S303" s="141"/>
      <c r="T303" s="143"/>
    </row>
    <row r="304" spans="13:20" s="140" customFormat="1" x14ac:dyDescent="0.2">
      <c r="M304" s="141"/>
      <c r="N304" s="141"/>
      <c r="P304" s="141"/>
      <c r="Q304" s="142"/>
      <c r="S304" s="141"/>
      <c r="T304" s="143"/>
    </row>
    <row r="305" spans="13:20" s="140" customFormat="1" x14ac:dyDescent="0.2">
      <c r="M305" s="141"/>
      <c r="N305" s="141"/>
      <c r="P305" s="141"/>
      <c r="Q305" s="142"/>
      <c r="S305" s="141"/>
      <c r="T305" s="143"/>
    </row>
    <row r="306" spans="13:20" s="140" customFormat="1" x14ac:dyDescent="0.2">
      <c r="M306" s="141"/>
      <c r="N306" s="141"/>
      <c r="P306" s="141"/>
      <c r="Q306" s="142"/>
      <c r="S306" s="141"/>
      <c r="T306" s="143"/>
    </row>
    <row r="307" spans="13:20" s="140" customFormat="1" x14ac:dyDescent="0.2">
      <c r="M307" s="141"/>
      <c r="N307" s="141"/>
      <c r="P307" s="141"/>
      <c r="Q307" s="142"/>
      <c r="S307" s="141"/>
      <c r="T307" s="143"/>
    </row>
    <row r="308" spans="13:20" s="140" customFormat="1" x14ac:dyDescent="0.2">
      <c r="M308" s="141"/>
      <c r="N308" s="141"/>
      <c r="P308" s="141"/>
      <c r="Q308" s="142"/>
      <c r="S308" s="141"/>
      <c r="T308" s="143"/>
    </row>
    <row r="309" spans="13:20" s="140" customFormat="1" x14ac:dyDescent="0.2">
      <c r="M309" s="141"/>
      <c r="N309" s="141"/>
      <c r="P309" s="141"/>
      <c r="Q309" s="142"/>
      <c r="S309" s="141"/>
      <c r="T309" s="143"/>
    </row>
    <row r="310" spans="13:20" s="140" customFormat="1" x14ac:dyDescent="0.2">
      <c r="M310" s="141"/>
      <c r="N310" s="141"/>
      <c r="P310" s="141"/>
      <c r="Q310" s="142"/>
      <c r="S310" s="141"/>
      <c r="T310" s="143"/>
    </row>
    <row r="311" spans="13:20" s="140" customFormat="1" x14ac:dyDescent="0.2">
      <c r="M311" s="141"/>
      <c r="N311" s="141"/>
      <c r="P311" s="141"/>
      <c r="Q311" s="142"/>
      <c r="S311" s="141"/>
      <c r="T311" s="143"/>
    </row>
    <row r="312" spans="13:20" s="140" customFormat="1" x14ac:dyDescent="0.2">
      <c r="M312" s="141"/>
      <c r="N312" s="141"/>
      <c r="P312" s="141"/>
      <c r="Q312" s="142"/>
      <c r="S312" s="141"/>
      <c r="T312" s="143"/>
    </row>
    <row r="313" spans="13:20" s="140" customFormat="1" x14ac:dyDescent="0.2">
      <c r="M313" s="141"/>
      <c r="N313" s="141"/>
      <c r="P313" s="141"/>
      <c r="Q313" s="142"/>
      <c r="S313" s="141"/>
      <c r="T313" s="143"/>
    </row>
    <row r="314" spans="13:20" s="140" customFormat="1" x14ac:dyDescent="0.2">
      <c r="M314" s="141"/>
      <c r="N314" s="141"/>
      <c r="P314" s="141"/>
      <c r="Q314" s="142"/>
      <c r="S314" s="141"/>
      <c r="T314" s="143"/>
    </row>
    <row r="315" spans="13:20" s="140" customFormat="1" x14ac:dyDescent="0.2">
      <c r="M315" s="141"/>
      <c r="N315" s="141"/>
      <c r="P315" s="141"/>
      <c r="Q315" s="142"/>
      <c r="S315" s="141"/>
      <c r="T315" s="143"/>
    </row>
    <row r="316" spans="13:20" s="140" customFormat="1" x14ac:dyDescent="0.2">
      <c r="M316" s="141"/>
      <c r="N316" s="141"/>
      <c r="P316" s="141"/>
      <c r="Q316" s="142"/>
      <c r="S316" s="141"/>
      <c r="T316" s="143"/>
    </row>
    <row r="317" spans="13:20" s="140" customFormat="1" x14ac:dyDescent="0.2">
      <c r="M317" s="141"/>
      <c r="N317" s="141"/>
      <c r="P317" s="141"/>
      <c r="Q317" s="141"/>
      <c r="S317" s="141"/>
      <c r="T317" s="143"/>
    </row>
    <row r="318" spans="13:20" s="140" customFormat="1" x14ac:dyDescent="0.2">
      <c r="M318" s="141"/>
      <c r="N318" s="141"/>
      <c r="P318" s="141"/>
      <c r="Q318" s="141"/>
      <c r="S318" s="141"/>
      <c r="T318" s="143"/>
    </row>
    <row r="319" spans="13:20" s="140" customFormat="1" x14ac:dyDescent="0.2">
      <c r="M319" s="141"/>
      <c r="N319" s="141"/>
      <c r="P319" s="141"/>
      <c r="Q319" s="141"/>
      <c r="S319" s="141"/>
      <c r="T319" s="143"/>
    </row>
    <row r="320" spans="13:20" s="140" customFormat="1" x14ac:dyDescent="0.2">
      <c r="M320" s="141"/>
      <c r="N320" s="141"/>
      <c r="P320" s="141"/>
      <c r="Q320" s="141"/>
      <c r="T320" s="155"/>
    </row>
    <row r="321" spans="13:20" s="140" customFormat="1" x14ac:dyDescent="0.2">
      <c r="M321" s="141"/>
      <c r="N321" s="141"/>
      <c r="P321" s="141"/>
      <c r="Q321" s="141"/>
      <c r="T321" s="155"/>
    </row>
    <row r="322" spans="13:20" s="140" customFormat="1" x14ac:dyDescent="0.2">
      <c r="M322" s="141"/>
      <c r="N322" s="141"/>
      <c r="P322" s="141"/>
      <c r="Q322" s="141"/>
      <c r="T322" s="155"/>
    </row>
    <row r="323" spans="13:20" s="140" customFormat="1" x14ac:dyDescent="0.2">
      <c r="M323" s="141"/>
      <c r="N323" s="141"/>
      <c r="P323" s="141"/>
      <c r="Q323" s="141"/>
      <c r="T323" s="155"/>
    </row>
    <row r="324" spans="13:20" s="140" customFormat="1" x14ac:dyDescent="0.2">
      <c r="M324" s="141"/>
      <c r="N324" s="141"/>
      <c r="P324" s="141"/>
      <c r="Q324" s="141"/>
      <c r="S324" s="154"/>
      <c r="T324" s="156"/>
    </row>
    <row r="325" spans="13:20" s="140" customFormat="1" x14ac:dyDescent="0.2">
      <c r="S325" s="154"/>
      <c r="T325" s="156"/>
    </row>
    <row r="326" spans="13:20" s="140" customFormat="1" x14ac:dyDescent="0.2">
      <c r="S326" s="154"/>
      <c r="T326" s="156"/>
    </row>
    <row r="327" spans="13:20" s="140" customFormat="1" x14ac:dyDescent="0.2">
      <c r="S327" s="154"/>
      <c r="T327" s="156"/>
    </row>
    <row r="328" spans="13:20" s="140" customFormat="1" x14ac:dyDescent="0.2">
      <c r="S328" s="154"/>
      <c r="T328" s="15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5"/>
  <sheetViews>
    <sheetView workbookViewId="0">
      <selection activeCell="B2" sqref="B2:C5"/>
    </sheetView>
  </sheetViews>
  <sheetFormatPr defaultRowHeight="12.75" x14ac:dyDescent="0.2"/>
  <cols>
    <col min="2" max="2" width="37" customWidth="1"/>
    <col min="5" max="5" width="11.28515625" customWidth="1"/>
    <col min="10" max="10" width="4.85546875" customWidth="1"/>
    <col min="11" max="11" width="10.5703125" customWidth="1"/>
    <col min="12" max="12" width="4.7109375" customWidth="1"/>
    <col min="13" max="13" width="16.5703125" customWidth="1"/>
    <col min="14" max="14" width="11.28515625" customWidth="1"/>
  </cols>
  <sheetData>
    <row r="1" spans="1:17" ht="18" x14ac:dyDescent="0.25">
      <c r="A1" s="27" t="s">
        <v>46</v>
      </c>
    </row>
    <row r="2" spans="1:17" x14ac:dyDescent="0.2">
      <c r="B2" s="185" t="s">
        <v>15</v>
      </c>
      <c r="C2" s="186">
        <f>forside!B8</f>
        <v>0</v>
      </c>
      <c r="E2" s="112"/>
      <c r="F2" s="194"/>
      <c r="G2" s="258" t="s">
        <v>15</v>
      </c>
      <c r="H2" s="258" t="s">
        <v>77</v>
      </c>
      <c r="I2" s="258" t="s">
        <v>85</v>
      </c>
      <c r="J2" s="194"/>
    </row>
    <row r="3" spans="1:17" x14ac:dyDescent="0.2">
      <c r="B3" s="187" t="s">
        <v>16</v>
      </c>
      <c r="C3" s="336">
        <f>forside!B11</f>
        <v>0</v>
      </c>
      <c r="G3" s="260" t="s">
        <v>180</v>
      </c>
      <c r="H3" s="261">
        <v>20</v>
      </c>
      <c r="I3" s="261">
        <v>1</v>
      </c>
    </row>
    <row r="4" spans="1:17" x14ac:dyDescent="0.2">
      <c r="B4" s="187"/>
      <c r="C4" s="188"/>
      <c r="D4" s="1"/>
      <c r="G4" s="260" t="s">
        <v>181</v>
      </c>
      <c r="H4" s="261">
        <v>65</v>
      </c>
      <c r="I4" s="261">
        <v>2</v>
      </c>
    </row>
    <row r="5" spans="1:17" x14ac:dyDescent="0.2">
      <c r="B5" s="189" t="s">
        <v>17</v>
      </c>
      <c r="C5" s="352">
        <f>forside!B31</f>
        <v>0</v>
      </c>
      <c r="D5" s="2"/>
      <c r="E5" s="194"/>
      <c r="G5" s="242"/>
      <c r="H5" s="56"/>
      <c r="I5" s="63"/>
    </row>
    <row r="6" spans="1:17" x14ac:dyDescent="0.2">
      <c r="G6" s="64" t="s">
        <v>84</v>
      </c>
      <c r="H6" s="63" t="e">
        <f>VLOOKUP(C2,H3:I4,2,TRUE)</f>
        <v>#N/A</v>
      </c>
      <c r="I6" s="63"/>
    </row>
    <row r="7" spans="1:17" x14ac:dyDescent="0.2">
      <c r="B7" s="1" t="s">
        <v>5</v>
      </c>
      <c r="G7" s="2"/>
    </row>
    <row r="8" spans="1:17" x14ac:dyDescent="0.2">
      <c r="B8" t="s">
        <v>1</v>
      </c>
      <c r="C8" s="7">
        <v>33.290623037735458</v>
      </c>
      <c r="E8" s="321"/>
      <c r="F8" s="322"/>
      <c r="G8" s="53"/>
      <c r="H8" s="53" t="s">
        <v>180</v>
      </c>
      <c r="I8" s="53"/>
      <c r="J8" s="53" t="s">
        <v>181</v>
      </c>
      <c r="K8" s="53"/>
    </row>
    <row r="9" spans="1:17" x14ac:dyDescent="0.2">
      <c r="B9" t="s">
        <v>2</v>
      </c>
      <c r="C9" s="7">
        <v>6.7096519920522527E-2</v>
      </c>
      <c r="E9" s="81"/>
      <c r="F9" s="81"/>
      <c r="G9" s="264" t="s">
        <v>182</v>
      </c>
      <c r="H9" s="323" t="s">
        <v>183</v>
      </c>
      <c r="I9" s="264" t="s">
        <v>137</v>
      </c>
      <c r="J9" s="264" t="s">
        <v>184</v>
      </c>
      <c r="K9" s="264" t="s">
        <v>137</v>
      </c>
    </row>
    <row r="10" spans="1:17" x14ac:dyDescent="0.2">
      <c r="B10" t="s">
        <v>3</v>
      </c>
      <c r="C10" s="7">
        <v>-9.6110611219932859E-4</v>
      </c>
      <c r="E10" s="81"/>
      <c r="F10" s="81"/>
      <c r="G10" s="324">
        <v>0</v>
      </c>
      <c r="H10" s="324">
        <v>0</v>
      </c>
      <c r="I10" s="324" t="s">
        <v>176</v>
      </c>
      <c r="J10" s="324" t="s">
        <v>67</v>
      </c>
      <c r="K10" s="324" t="s">
        <v>176</v>
      </c>
    </row>
    <row r="11" spans="1:17" x14ac:dyDescent="0.2">
      <c r="B11" t="s">
        <v>4</v>
      </c>
      <c r="C11" s="7">
        <v>8.2581572876138001E-2</v>
      </c>
      <c r="E11" s="81"/>
      <c r="F11" s="81"/>
      <c r="G11" s="324">
        <v>20.5</v>
      </c>
      <c r="H11" s="324">
        <v>0</v>
      </c>
      <c r="I11" s="324" t="s">
        <v>176</v>
      </c>
      <c r="J11" s="324">
        <v>0.6</v>
      </c>
      <c r="K11" s="324">
        <v>1</v>
      </c>
    </row>
    <row r="12" spans="1:17" x14ac:dyDescent="0.2">
      <c r="E12" s="81"/>
      <c r="F12" s="81"/>
      <c r="G12" s="324">
        <v>22.5</v>
      </c>
      <c r="H12" s="324">
        <v>0</v>
      </c>
      <c r="I12" s="324" t="s">
        <v>176</v>
      </c>
      <c r="J12" s="324">
        <v>1.8</v>
      </c>
      <c r="K12" s="324">
        <v>2</v>
      </c>
    </row>
    <row r="13" spans="1:17" x14ac:dyDescent="0.2">
      <c r="C13" s="1" t="s">
        <v>6</v>
      </c>
      <c r="D13" s="1"/>
      <c r="E13" s="81"/>
      <c r="F13" s="81"/>
      <c r="G13" s="324">
        <v>26.5</v>
      </c>
      <c r="H13" s="324">
        <v>0</v>
      </c>
      <c r="I13" s="324" t="s">
        <v>176</v>
      </c>
      <c r="J13" s="324">
        <v>3</v>
      </c>
      <c r="K13" s="324">
        <v>3</v>
      </c>
    </row>
    <row r="14" spans="1:17" x14ac:dyDescent="0.2">
      <c r="B14" t="s">
        <v>0</v>
      </c>
      <c r="C14" s="9">
        <f>C8+(C2*C9)+(C2*C2*C10)+(C3*C11)</f>
        <v>33.290623037735458</v>
      </c>
      <c r="D14" s="2"/>
      <c r="E14" s="81"/>
      <c r="F14" s="81"/>
      <c r="G14" s="324">
        <v>28</v>
      </c>
      <c r="H14" s="324">
        <v>0</v>
      </c>
      <c r="I14" s="324" t="s">
        <v>176</v>
      </c>
      <c r="J14" s="324">
        <v>4.2</v>
      </c>
      <c r="K14" s="324" t="s">
        <v>138</v>
      </c>
    </row>
    <row r="15" spans="1:17" x14ac:dyDescent="0.2">
      <c r="B15" t="s">
        <v>9</v>
      </c>
      <c r="C15" s="3">
        <f>C11*(C3-C17)</f>
        <v>-1.1027816193305815</v>
      </c>
      <c r="D15" s="2"/>
      <c r="E15" s="81"/>
      <c r="F15" s="81"/>
      <c r="G15" s="324">
        <v>29</v>
      </c>
      <c r="H15" s="324">
        <v>0</v>
      </c>
      <c r="I15" s="324" t="s">
        <v>176</v>
      </c>
      <c r="J15" s="324">
        <v>6.5</v>
      </c>
      <c r="K15" s="324" t="s">
        <v>145</v>
      </c>
    </row>
    <row r="16" spans="1:17" x14ac:dyDescent="0.2">
      <c r="E16" s="81"/>
      <c r="F16" s="81"/>
      <c r="G16" s="324">
        <v>30</v>
      </c>
      <c r="H16" s="325">
        <v>0.28000000000000003</v>
      </c>
      <c r="I16" s="324" t="s">
        <v>176</v>
      </c>
      <c r="J16" s="324">
        <v>8.9</v>
      </c>
      <c r="K16" s="324" t="s">
        <v>147</v>
      </c>
      <c r="L16" s="33"/>
      <c r="O16" s="30"/>
      <c r="P16" s="30"/>
      <c r="Q16" s="30"/>
    </row>
    <row r="17" spans="2:17" x14ac:dyDescent="0.2">
      <c r="B17" s="5" t="s">
        <v>14</v>
      </c>
      <c r="C17" s="25">
        <v>13.353846153846156</v>
      </c>
      <c r="E17" s="81"/>
      <c r="F17" s="81"/>
      <c r="G17" s="324">
        <v>31</v>
      </c>
      <c r="H17" s="325">
        <v>1.1399999999999999</v>
      </c>
      <c r="I17" s="324">
        <v>1</v>
      </c>
      <c r="J17" s="324">
        <v>11.3</v>
      </c>
      <c r="K17" s="324" t="s">
        <v>149</v>
      </c>
      <c r="L17" s="18"/>
      <c r="O17" s="18"/>
      <c r="P17" s="18"/>
      <c r="Q17" s="18"/>
    </row>
    <row r="18" spans="2:17" x14ac:dyDescent="0.2">
      <c r="C18" s="3"/>
      <c r="E18" s="81"/>
      <c r="F18" s="81"/>
      <c r="G18" s="324">
        <v>32</v>
      </c>
      <c r="H18" s="325">
        <v>2.27</v>
      </c>
      <c r="I18" s="324" t="s">
        <v>185</v>
      </c>
      <c r="J18" s="324">
        <v>16.100000000000001</v>
      </c>
      <c r="K18" s="324" t="s">
        <v>186</v>
      </c>
      <c r="L18" s="18"/>
      <c r="O18" s="18"/>
      <c r="P18" s="18"/>
      <c r="Q18" s="18"/>
    </row>
    <row r="19" spans="2:17" x14ac:dyDescent="0.2">
      <c r="B19" s="335" t="s">
        <v>127</v>
      </c>
      <c r="C19" s="63" t="s">
        <v>196</v>
      </c>
      <c r="E19" s="81"/>
      <c r="F19" s="81"/>
      <c r="G19" s="324">
        <v>33</v>
      </c>
      <c r="H19" s="325">
        <v>4.26</v>
      </c>
      <c r="I19" s="324" t="s">
        <v>187</v>
      </c>
      <c r="J19" s="324">
        <v>23.8</v>
      </c>
      <c r="K19" s="324" t="s">
        <v>188</v>
      </c>
      <c r="L19" s="18"/>
      <c r="O19" s="18"/>
      <c r="P19" s="18"/>
      <c r="Q19" s="18"/>
    </row>
    <row r="20" spans="2:17" x14ac:dyDescent="0.2">
      <c r="B20" s="164"/>
      <c r="C20" s="166"/>
      <c r="D20" s="166"/>
      <c r="E20" s="81"/>
      <c r="F20" s="81"/>
      <c r="G20" s="324">
        <v>34</v>
      </c>
      <c r="H20" s="325">
        <v>8.24</v>
      </c>
      <c r="I20" s="324" t="s">
        <v>189</v>
      </c>
      <c r="J20" s="324">
        <v>37.5</v>
      </c>
      <c r="K20" s="324" t="s">
        <v>190</v>
      </c>
      <c r="L20" s="18"/>
      <c r="O20" s="18"/>
      <c r="P20" s="18"/>
      <c r="Q20" s="18"/>
    </row>
    <row r="21" spans="2:17" x14ac:dyDescent="0.2">
      <c r="B21" s="164"/>
      <c r="C21" s="29"/>
      <c r="D21" s="23"/>
      <c r="E21" s="81"/>
      <c r="F21" s="81"/>
      <c r="G21" s="324">
        <v>35</v>
      </c>
      <c r="H21" s="325">
        <v>18.18</v>
      </c>
      <c r="I21" s="324" t="s">
        <v>191</v>
      </c>
      <c r="J21" s="324">
        <v>53</v>
      </c>
      <c r="K21" s="324" t="s">
        <v>192</v>
      </c>
      <c r="L21" s="18"/>
      <c r="O21" s="32"/>
      <c r="P21" s="32"/>
      <c r="Q21" s="32"/>
    </row>
    <row r="22" spans="2:17" x14ac:dyDescent="0.2">
      <c r="B22" s="164"/>
      <c r="C22" s="29"/>
      <c r="D22" s="23"/>
      <c r="E22" s="81"/>
      <c r="F22" s="81"/>
      <c r="G22" s="324">
        <v>36</v>
      </c>
      <c r="H22" s="325">
        <v>62.78</v>
      </c>
      <c r="I22" s="324" t="s">
        <v>193</v>
      </c>
      <c r="J22" s="324">
        <v>79.8</v>
      </c>
      <c r="K22" s="324" t="s">
        <v>194</v>
      </c>
      <c r="L22" s="18"/>
      <c r="O22" s="32"/>
      <c r="P22" s="32"/>
      <c r="Q22" s="32"/>
    </row>
    <row r="23" spans="2:17" x14ac:dyDescent="0.2">
      <c r="B23" s="164"/>
      <c r="C23" s="29"/>
      <c r="D23" s="23"/>
      <c r="E23" s="81"/>
      <c r="F23" s="81"/>
      <c r="G23" s="81"/>
      <c r="H23" s="21"/>
      <c r="I23" s="21"/>
      <c r="K23" s="31"/>
      <c r="L23" s="18"/>
      <c r="O23" s="18"/>
      <c r="P23" s="18"/>
      <c r="Q23" s="18"/>
    </row>
    <row r="24" spans="2:17" s="164" customFormat="1" x14ac:dyDescent="0.2">
      <c r="C24" s="29"/>
      <c r="D24" s="195"/>
      <c r="E24" s="21"/>
      <c r="F24" s="21"/>
      <c r="G24" s="253" t="s">
        <v>102</v>
      </c>
      <c r="H24" s="95"/>
      <c r="I24" s="254" t="e" cm="1">
        <f t="array" ref="I24">_xlfn.IFS(H6=1,VLOOKUP(C5,G10:I22,3,TRUE),H6=2,VLOOKUP(C5,G10:K22,5,TRUE))</f>
        <v>#N/A</v>
      </c>
    </row>
    <row r="25" spans="2:17" s="164" customFormat="1" x14ac:dyDescent="0.2">
      <c r="C25" s="29"/>
      <c r="D25" s="195"/>
      <c r="E25" s="21"/>
      <c r="F25" s="21"/>
      <c r="G25" s="21"/>
    </row>
    <row r="26" spans="2:17" s="164" customFormat="1" x14ac:dyDescent="0.2">
      <c r="C26" s="29"/>
      <c r="D26" s="195"/>
      <c r="E26" s="21"/>
      <c r="F26" s="21"/>
      <c r="G26" s="21"/>
    </row>
    <row r="27" spans="2:17" s="164" customFormat="1" x14ac:dyDescent="0.2">
      <c r="B27" s="107"/>
      <c r="C27" s="29"/>
      <c r="D27" s="195"/>
      <c r="E27" s="21"/>
      <c r="F27" s="21"/>
      <c r="G27" s="21"/>
    </row>
    <row r="28" spans="2:17" s="164" customFormat="1" x14ac:dyDescent="0.2">
      <c r="C28" s="29"/>
      <c r="D28" s="36"/>
      <c r="E28" s="21"/>
      <c r="F28" s="21"/>
      <c r="G28" s="21"/>
    </row>
    <row r="29" spans="2:17" s="164" customFormat="1" x14ac:dyDescent="0.2">
      <c r="C29" s="29"/>
      <c r="D29" s="36"/>
      <c r="E29" s="21"/>
      <c r="F29" s="21"/>
      <c r="G29" s="21"/>
    </row>
    <row r="30" spans="2:17" s="164" customFormat="1" x14ac:dyDescent="0.2"/>
    <row r="31" spans="2:17" s="164" customFormat="1" x14ac:dyDescent="0.2"/>
    <row r="32" spans="2:17" s="164" customFormat="1" x14ac:dyDescent="0.2">
      <c r="C32" s="108"/>
      <c r="D32" s="108"/>
      <c r="E32" s="108"/>
      <c r="F32" s="108"/>
    </row>
    <row r="33" spans="3:6" s="164" customFormat="1" ht="24" customHeight="1" x14ac:dyDescent="0.2">
      <c r="C33" s="165"/>
      <c r="D33" s="165"/>
      <c r="E33" s="173"/>
      <c r="F33" s="172"/>
    </row>
    <row r="34" spans="3:6" s="164" customFormat="1" x14ac:dyDescent="0.2"/>
    <row r="35" spans="3:6" s="164" customFormat="1" x14ac:dyDescent="0.2">
      <c r="C35" s="19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2"/>
  <sheetViews>
    <sheetView workbookViewId="0">
      <selection activeCell="H22" sqref="H22"/>
    </sheetView>
  </sheetViews>
  <sheetFormatPr defaultRowHeight="12" customHeight="1" x14ac:dyDescent="0.2"/>
  <cols>
    <col min="2" max="2" width="36" customWidth="1"/>
    <col min="7" max="7" width="18.28515625" customWidth="1"/>
  </cols>
  <sheetData>
    <row r="1" spans="1:10" ht="12" customHeight="1" x14ac:dyDescent="0.25">
      <c r="A1" s="27" t="s">
        <v>48</v>
      </c>
    </row>
    <row r="2" spans="1:10" s="5" customFormat="1" ht="12" customHeight="1" x14ac:dyDescent="0.2">
      <c r="B2" s="346" t="s">
        <v>15</v>
      </c>
      <c r="C2" s="347">
        <f>forside!B8</f>
        <v>0</v>
      </c>
      <c r="F2" s="5" t="s">
        <v>91</v>
      </c>
      <c r="H2" s="132" t="e">
        <f>E14-E5</f>
        <v>#NUM!</v>
      </c>
      <c r="I2" s="5" t="s">
        <v>119</v>
      </c>
    </row>
    <row r="3" spans="1:10" s="5" customFormat="1" ht="12" customHeight="1" x14ac:dyDescent="0.2">
      <c r="B3" s="217" t="s">
        <v>16</v>
      </c>
      <c r="C3" s="348">
        <f>forside!B11</f>
        <v>0</v>
      </c>
    </row>
    <row r="4" spans="1:10" s="5" customFormat="1" ht="12" customHeight="1" x14ac:dyDescent="0.2">
      <c r="B4" s="217"/>
      <c r="C4" s="349"/>
      <c r="D4" s="1"/>
      <c r="G4" s="112"/>
      <c r="H4" s="112" t="s">
        <v>92</v>
      </c>
      <c r="I4" s="112" t="s">
        <v>93</v>
      </c>
      <c r="J4" s="112"/>
    </row>
    <row r="5" spans="1:10" s="5" customFormat="1" ht="12" customHeight="1" x14ac:dyDescent="0.2">
      <c r="B5" s="350" t="s">
        <v>17</v>
      </c>
      <c r="C5" s="351">
        <f>forside!B20</f>
        <v>0</v>
      </c>
      <c r="D5" s="134" t="s">
        <v>90</v>
      </c>
      <c r="E5" s="132" t="e">
        <f>LOG10(C5)</f>
        <v>#NUM!</v>
      </c>
      <c r="G5" s="160" t="s">
        <v>15</v>
      </c>
      <c r="H5" s="160" t="s">
        <v>77</v>
      </c>
      <c r="I5" s="160" t="s">
        <v>85</v>
      </c>
      <c r="J5" s="161" t="s">
        <v>76</v>
      </c>
    </row>
    <row r="6" spans="1:10" s="5" customFormat="1" ht="12" customHeight="1" x14ac:dyDescent="0.2">
      <c r="G6" s="162" t="s">
        <v>38</v>
      </c>
      <c r="H6" s="163">
        <v>20</v>
      </c>
      <c r="I6" s="163">
        <v>1</v>
      </c>
      <c r="J6" s="5">
        <v>0.24192886393606194</v>
      </c>
    </row>
    <row r="7" spans="1:10" s="5" customFormat="1" ht="12" customHeight="1" x14ac:dyDescent="0.2">
      <c r="B7" s="1" t="s">
        <v>5</v>
      </c>
      <c r="G7" s="162" t="s">
        <v>39</v>
      </c>
      <c r="H7" s="163">
        <v>30</v>
      </c>
      <c r="I7" s="163">
        <v>2</v>
      </c>
      <c r="J7" s="5">
        <v>0.253408765254868</v>
      </c>
    </row>
    <row r="8" spans="1:10" s="5" customFormat="1" ht="12" customHeight="1" x14ac:dyDescent="0.2">
      <c r="B8" s="5" t="s">
        <v>1</v>
      </c>
      <c r="C8" s="37">
        <v>12.42004221166362</v>
      </c>
      <c r="G8" s="162" t="s">
        <v>40</v>
      </c>
      <c r="H8" s="163">
        <v>40</v>
      </c>
      <c r="I8" s="163">
        <v>3</v>
      </c>
      <c r="J8" s="5">
        <v>0.26224922884896729</v>
      </c>
    </row>
    <row r="9" spans="1:10" s="5" customFormat="1" ht="12" customHeight="1" x14ac:dyDescent="0.2">
      <c r="B9" s="5" t="s">
        <v>2</v>
      </c>
      <c r="C9" s="37">
        <v>3.3178850823366468E-2</v>
      </c>
      <c r="G9" s="162" t="s">
        <v>41</v>
      </c>
      <c r="H9" s="163">
        <v>50</v>
      </c>
      <c r="I9" s="163">
        <v>4</v>
      </c>
      <c r="J9" s="5">
        <v>0.24668594692496182</v>
      </c>
    </row>
    <row r="10" spans="1:10" s="5" customFormat="1" ht="12" customHeight="1" x14ac:dyDescent="0.2">
      <c r="B10" s="5" t="s">
        <v>3</v>
      </c>
      <c r="C10" s="37">
        <v>7.0137780600902535E-4</v>
      </c>
      <c r="G10" s="162" t="s">
        <v>43</v>
      </c>
      <c r="H10" s="163">
        <v>60</v>
      </c>
      <c r="I10" s="163">
        <v>5</v>
      </c>
      <c r="J10" s="5">
        <v>0.2329726041383634</v>
      </c>
    </row>
    <row r="11" spans="1:10" s="5" customFormat="1" ht="12" customHeight="1" x14ac:dyDescent="0.2">
      <c r="B11" s="5" t="s">
        <v>4</v>
      </c>
      <c r="C11" s="37">
        <v>-0.40731353771461137</v>
      </c>
      <c r="F11" s="1"/>
      <c r="G11" s="162" t="s">
        <v>53</v>
      </c>
      <c r="H11" s="163">
        <v>70</v>
      </c>
      <c r="I11" s="163">
        <v>6</v>
      </c>
      <c r="J11" s="5">
        <v>0.20188162293849671</v>
      </c>
    </row>
    <row r="12" spans="1:10" s="5" customFormat="1" ht="12" customHeight="1" x14ac:dyDescent="0.2">
      <c r="G12" s="162" t="s">
        <v>94</v>
      </c>
      <c r="H12" s="163">
        <v>80</v>
      </c>
      <c r="I12" s="163">
        <v>7</v>
      </c>
      <c r="J12" s="5">
        <v>0.19227948749029466</v>
      </c>
    </row>
    <row r="13" spans="1:10" s="5" customFormat="1" ht="12" customHeight="1" x14ac:dyDescent="0.2">
      <c r="C13" s="1" t="s">
        <v>6</v>
      </c>
      <c r="D13" s="1"/>
      <c r="G13" s="133"/>
      <c r="J13" s="5" t="s">
        <v>123</v>
      </c>
    </row>
    <row r="14" spans="1:10" s="5" customFormat="1" ht="12" customHeight="1" x14ac:dyDescent="0.2">
      <c r="B14" s="5" t="s">
        <v>0</v>
      </c>
      <c r="C14" s="9">
        <f>C8+(C2*C9)+(C2*C2*C10)+(C3*C11)</f>
        <v>12.42004221166362</v>
      </c>
      <c r="D14" s="134" t="s">
        <v>90</v>
      </c>
      <c r="E14" s="132">
        <f>LOG10(C14)</f>
        <v>1.0941230718680517</v>
      </c>
      <c r="G14" s="111" t="s">
        <v>84</v>
      </c>
      <c r="I14" s="117" t="e">
        <f>VLOOKUP(C2,limit_listK,2,TRUE)</f>
        <v>#N/A</v>
      </c>
    </row>
    <row r="15" spans="1:10" s="5" customFormat="1" ht="12" customHeight="1" x14ac:dyDescent="0.2">
      <c r="B15" s="5" t="s">
        <v>9</v>
      </c>
      <c r="C15" s="135">
        <f>C11*(C3-C17)</f>
        <v>5.3861225457790942</v>
      </c>
      <c r="D15" s="134"/>
    </row>
    <row r="16" spans="1:10" s="5" customFormat="1" ht="12" customHeight="1" x14ac:dyDescent="0.2">
      <c r="G16" s="10" t="s">
        <v>69</v>
      </c>
    </row>
    <row r="17" spans="2:16" s="5" customFormat="1" ht="12" customHeight="1" x14ac:dyDescent="0.2">
      <c r="B17" s="5" t="s">
        <v>14</v>
      </c>
      <c r="C17" s="197">
        <v>13.2235294117647</v>
      </c>
      <c r="G17" s="5" t="s">
        <v>121</v>
      </c>
      <c r="H17" s="5">
        <v>0</v>
      </c>
      <c r="L17" s="198"/>
      <c r="M17" s="199"/>
      <c r="N17" s="200"/>
      <c r="O17" s="200"/>
      <c r="P17" s="200"/>
    </row>
    <row r="18" spans="2:16" s="5" customFormat="1" ht="24" customHeight="1" x14ac:dyDescent="0.2">
      <c r="C18" s="135"/>
      <c r="G18" s="193" t="s">
        <v>120</v>
      </c>
      <c r="H18" s="133" t="e">
        <f>VLOOKUP(I14,kat_listK,2,TRUE)</f>
        <v>#N/A</v>
      </c>
      <c r="L18" s="201"/>
      <c r="M18" s="202"/>
      <c r="N18" s="201"/>
      <c r="O18" s="201"/>
      <c r="P18" s="201"/>
    </row>
    <row r="19" spans="2:16" s="5" customFormat="1" ht="12" customHeight="1" x14ac:dyDescent="0.2">
      <c r="B19" s="335" t="s">
        <v>127</v>
      </c>
      <c r="C19" s="63" t="s">
        <v>196</v>
      </c>
      <c r="K19" s="201"/>
      <c r="L19" s="201"/>
      <c r="M19" s="202"/>
      <c r="N19" s="201"/>
      <c r="O19" s="201"/>
      <c r="P19" s="201"/>
    </row>
    <row r="20" spans="2:16" s="140" customFormat="1" ht="12" customHeight="1" x14ac:dyDescent="0.2">
      <c r="C20" s="144"/>
      <c r="D20" s="144"/>
      <c r="E20" s="145"/>
      <c r="F20" s="146"/>
      <c r="G20" s="147" t="s">
        <v>71</v>
      </c>
      <c r="H20" s="144"/>
      <c r="I20" s="144"/>
      <c r="K20" s="139"/>
      <c r="L20" s="139"/>
      <c r="M20" s="148"/>
      <c r="N20" s="139"/>
      <c r="O20" s="139"/>
      <c r="P20" s="139"/>
    </row>
    <row r="21" spans="2:16" s="140" customFormat="1" ht="22.5" customHeight="1" x14ac:dyDescent="0.2">
      <c r="C21" s="138"/>
      <c r="D21" s="139"/>
      <c r="E21" s="148"/>
      <c r="F21" s="138"/>
      <c r="G21" s="213" t="s">
        <v>122</v>
      </c>
      <c r="H21" s="229" t="e">
        <f>100*(_xlfn.NORM.DIST(H2,0,H18,TRUE))</f>
        <v>#NUM!</v>
      </c>
      <c r="I21" s="149"/>
      <c r="K21" s="139"/>
      <c r="L21" s="139"/>
      <c r="M21" s="148"/>
      <c r="N21" s="139"/>
      <c r="O21" s="139"/>
      <c r="P21" s="139"/>
    </row>
    <row r="22" spans="2:16" s="140" customFormat="1" ht="26.25" customHeight="1" x14ac:dyDescent="0.2">
      <c r="C22" s="138"/>
      <c r="D22" s="139"/>
      <c r="E22" s="148"/>
      <c r="F22" s="138"/>
      <c r="G22" s="213" t="s">
        <v>126</v>
      </c>
      <c r="H22" s="148" t="e">
        <f>_xlfn.NORM.S.INV(H21/100)</f>
        <v>#NUM!</v>
      </c>
      <c r="I22" s="149"/>
      <c r="K22" s="139"/>
      <c r="L22" s="139"/>
      <c r="M22" s="148"/>
      <c r="N22" s="139"/>
      <c r="O22" s="139"/>
      <c r="P22" s="139"/>
    </row>
    <row r="23" spans="2:16" s="164" customFormat="1" ht="12" customHeight="1" x14ac:dyDescent="0.2">
      <c r="C23" s="29"/>
      <c r="D23" s="23"/>
      <c r="E23" s="36"/>
      <c r="F23" s="29"/>
      <c r="G23" s="36"/>
      <c r="H23" s="36"/>
      <c r="I23" s="21"/>
      <c r="K23" s="23"/>
      <c r="L23" s="23"/>
      <c r="M23" s="36"/>
      <c r="N23" s="23"/>
      <c r="O23" s="23"/>
      <c r="P23" s="23"/>
    </row>
    <row r="24" spans="2:16" s="164" customFormat="1" ht="12" customHeight="1" x14ac:dyDescent="0.2">
      <c r="C24" s="29"/>
      <c r="D24" s="23"/>
      <c r="E24" s="36"/>
      <c r="F24" s="29"/>
      <c r="G24" s="36"/>
      <c r="H24" s="36"/>
      <c r="I24" s="21"/>
      <c r="K24" s="23"/>
      <c r="L24" s="23"/>
      <c r="M24" s="36"/>
      <c r="N24" s="23"/>
      <c r="O24" s="23"/>
      <c r="P24" s="23"/>
    </row>
    <row r="25" spans="2:16" s="164" customFormat="1" ht="12" customHeight="1" x14ac:dyDescent="0.2">
      <c r="C25" s="29"/>
      <c r="D25" s="23"/>
      <c r="E25" s="36"/>
      <c r="F25" s="29"/>
      <c r="G25" s="21"/>
      <c r="H25" s="21"/>
      <c r="I25" s="21"/>
      <c r="K25" s="23"/>
      <c r="L25" s="23"/>
      <c r="M25" s="36"/>
      <c r="N25" s="23"/>
      <c r="O25" s="23"/>
      <c r="P25" s="23"/>
    </row>
    <row r="26" spans="2:16" s="164" customFormat="1" ht="12" customHeight="1" x14ac:dyDescent="0.2">
      <c r="C26" s="29"/>
      <c r="D26" s="23"/>
      <c r="E26" s="36"/>
      <c r="F26" s="29"/>
      <c r="G26" s="21"/>
      <c r="H26" s="21"/>
      <c r="I26" s="21"/>
      <c r="K26" s="29"/>
      <c r="L26" s="23"/>
      <c r="M26" s="36"/>
      <c r="O26" s="23"/>
      <c r="P26" s="23"/>
    </row>
    <row r="27" spans="2:16" s="164" customFormat="1" ht="12" customHeight="1" x14ac:dyDescent="0.2"/>
    <row r="28" spans="2:16" s="164" customFormat="1" ht="12" customHeight="1" x14ac:dyDescent="0.2">
      <c r="C28" s="106"/>
    </row>
    <row r="29" spans="2:16" s="164" customFormat="1" ht="12" customHeight="1" x14ac:dyDescent="0.2"/>
    <row r="30" spans="2:16" s="164" customFormat="1" ht="12" customHeight="1" x14ac:dyDescent="0.2">
      <c r="C30" s="169"/>
      <c r="D30" s="170"/>
      <c r="E30" s="169"/>
      <c r="F30" s="169"/>
      <c r="G30" s="169"/>
    </row>
    <row r="31" spans="2:16" s="164" customFormat="1" ht="12" customHeight="1" x14ac:dyDescent="0.2">
      <c r="C31" s="29"/>
      <c r="D31" s="36"/>
      <c r="E31" s="21"/>
      <c r="F31" s="21"/>
      <c r="G31" s="21"/>
    </row>
    <row r="32" spans="2:16" s="164" customFormat="1" ht="12" customHeight="1" x14ac:dyDescent="0.2">
      <c r="C32" s="29"/>
      <c r="D32" s="36"/>
      <c r="E32" s="21"/>
      <c r="F32" s="21"/>
      <c r="G32" s="21"/>
    </row>
    <row r="33" spans="2:7" s="164" customFormat="1" ht="12" customHeight="1" x14ac:dyDescent="0.2">
      <c r="C33" s="29"/>
      <c r="D33" s="36"/>
      <c r="E33" s="21"/>
      <c r="F33" s="21"/>
      <c r="G33" s="21"/>
    </row>
    <row r="34" spans="2:7" s="164" customFormat="1" ht="12" customHeight="1" x14ac:dyDescent="0.2">
      <c r="C34" s="29"/>
      <c r="D34" s="36"/>
      <c r="E34" s="21"/>
      <c r="F34" s="21"/>
      <c r="G34" s="21"/>
    </row>
    <row r="35" spans="2:7" s="164" customFormat="1" ht="12" customHeight="1" x14ac:dyDescent="0.2">
      <c r="B35" s="107"/>
      <c r="C35" s="29"/>
      <c r="D35" s="36"/>
      <c r="E35" s="21"/>
      <c r="F35" s="21"/>
      <c r="G35" s="21"/>
    </row>
    <row r="36" spans="2:7" s="164" customFormat="1" ht="12" customHeight="1" x14ac:dyDescent="0.2">
      <c r="B36" s="171"/>
      <c r="C36" s="29"/>
      <c r="D36" s="36"/>
      <c r="E36" s="21"/>
      <c r="F36" s="21"/>
      <c r="G36" s="21"/>
    </row>
    <row r="37" spans="2:7" s="164" customFormat="1" ht="12" customHeight="1" x14ac:dyDescent="0.2"/>
    <row r="38" spans="2:7" s="164" customFormat="1" ht="12" customHeight="1" x14ac:dyDescent="0.2"/>
    <row r="39" spans="2:7" s="164" customFormat="1" ht="12" customHeight="1" x14ac:dyDescent="0.2">
      <c r="C39" s="108"/>
      <c r="D39" s="108"/>
      <c r="E39" s="108"/>
      <c r="F39" s="108"/>
    </row>
    <row r="40" spans="2:7" s="164" customFormat="1" ht="12" customHeight="1" x14ac:dyDescent="0.2">
      <c r="C40" s="172"/>
      <c r="D40" s="173"/>
      <c r="E40" s="165"/>
      <c r="F40" s="165"/>
    </row>
    <row r="41" spans="2:7" s="164" customFormat="1" ht="12" customHeight="1" x14ac:dyDescent="0.2"/>
    <row r="42" spans="2:7" s="164" customFormat="1" ht="12" customHeight="1"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workbookViewId="0">
      <selection activeCell="K25" sqref="K25"/>
    </sheetView>
  </sheetViews>
  <sheetFormatPr defaultRowHeight="12.75" x14ac:dyDescent="0.2"/>
  <cols>
    <col min="2" max="2" width="36.42578125" customWidth="1"/>
    <col min="3" max="3" width="13.5703125" bestFit="1" customWidth="1"/>
    <col min="5" max="5" width="10.85546875" customWidth="1"/>
    <col min="6" max="6" width="15.7109375" customWidth="1"/>
    <col min="7" max="7" width="21.7109375" customWidth="1"/>
  </cols>
  <sheetData>
    <row r="1" spans="1:16" ht="18" x14ac:dyDescent="0.25">
      <c r="A1" s="27" t="s">
        <v>49</v>
      </c>
    </row>
    <row r="2" spans="1:16" x14ac:dyDescent="0.2">
      <c r="B2" s="185" t="s">
        <v>15</v>
      </c>
      <c r="C2" s="186">
        <f>forside!B8</f>
        <v>0</v>
      </c>
      <c r="F2" s="5" t="s">
        <v>91</v>
      </c>
      <c r="G2" s="5"/>
      <c r="H2" s="132" t="e">
        <f>E13-E5</f>
        <v>#NUM!</v>
      </c>
      <c r="I2" s="5" t="s">
        <v>119</v>
      </c>
    </row>
    <row r="3" spans="1:16" x14ac:dyDescent="0.2">
      <c r="B3" s="187" t="s">
        <v>16</v>
      </c>
      <c r="C3" s="336">
        <f>forside!B11</f>
        <v>0</v>
      </c>
    </row>
    <row r="4" spans="1:16" x14ac:dyDescent="0.2">
      <c r="B4" s="187"/>
      <c r="C4" s="188"/>
      <c r="D4" s="1"/>
      <c r="H4" t="s">
        <v>95</v>
      </c>
      <c r="I4" t="s">
        <v>96</v>
      </c>
    </row>
    <row r="5" spans="1:16" x14ac:dyDescent="0.2">
      <c r="B5" s="189" t="s">
        <v>17</v>
      </c>
      <c r="C5" s="341">
        <f>forside!B21</f>
        <v>0</v>
      </c>
      <c r="D5" s="134" t="s">
        <v>90</v>
      </c>
      <c r="E5" s="132" t="e">
        <f>LOG10(C5)</f>
        <v>#NUM!</v>
      </c>
      <c r="G5" s="160" t="s">
        <v>15</v>
      </c>
      <c r="H5" s="160" t="s">
        <v>77</v>
      </c>
      <c r="I5" s="160" t="s">
        <v>85</v>
      </c>
      <c r="J5" s="221" t="s">
        <v>76</v>
      </c>
    </row>
    <row r="6" spans="1:16" x14ac:dyDescent="0.2">
      <c r="G6" s="162" t="s">
        <v>38</v>
      </c>
      <c r="H6" s="163">
        <v>20</v>
      </c>
      <c r="I6" s="163">
        <v>1</v>
      </c>
      <c r="J6" s="222">
        <v>0.19474933666930988</v>
      </c>
    </row>
    <row r="7" spans="1:16" x14ac:dyDescent="0.2">
      <c r="B7" s="1" t="s">
        <v>5</v>
      </c>
      <c r="G7" s="162" t="s">
        <v>39</v>
      </c>
      <c r="H7" s="163">
        <v>30</v>
      </c>
      <c r="I7" s="163">
        <v>2</v>
      </c>
      <c r="J7" s="222">
        <v>0.21183464683780936</v>
      </c>
    </row>
    <row r="8" spans="1:16" x14ac:dyDescent="0.2">
      <c r="B8" t="s">
        <v>1</v>
      </c>
      <c r="C8" s="7">
        <v>12.118</v>
      </c>
      <c r="G8" s="162" t="s">
        <v>40</v>
      </c>
      <c r="H8" s="163">
        <v>40</v>
      </c>
      <c r="I8" s="163">
        <v>3</v>
      </c>
      <c r="J8" s="222">
        <v>0.24192702598985616</v>
      </c>
    </row>
    <row r="9" spans="1:16" x14ac:dyDescent="0.2">
      <c r="B9" t="s">
        <v>2</v>
      </c>
      <c r="C9" s="7">
        <v>0.11899999999999999</v>
      </c>
      <c r="G9" s="162" t="s">
        <v>41</v>
      </c>
      <c r="H9" s="163">
        <v>50</v>
      </c>
      <c r="I9" s="163">
        <v>4</v>
      </c>
      <c r="J9" s="222">
        <v>0.22838727901221589</v>
      </c>
    </row>
    <row r="10" spans="1:16" x14ac:dyDescent="0.2">
      <c r="B10" t="s">
        <v>4</v>
      </c>
      <c r="C10" s="7">
        <v>-0.33800000000000002</v>
      </c>
      <c r="G10" s="162" t="s">
        <v>43</v>
      </c>
      <c r="H10" s="163">
        <v>60</v>
      </c>
      <c r="I10" s="163">
        <v>5</v>
      </c>
      <c r="J10" s="222">
        <v>0.21011720498764358</v>
      </c>
    </row>
    <row r="11" spans="1:16" x14ac:dyDescent="0.2">
      <c r="G11" s="162" t="s">
        <v>53</v>
      </c>
      <c r="H11" s="163">
        <v>70</v>
      </c>
      <c r="I11" s="163">
        <v>6</v>
      </c>
      <c r="J11" s="222">
        <v>0.18954229101711714</v>
      </c>
    </row>
    <row r="12" spans="1:16" x14ac:dyDescent="0.2">
      <c r="C12" s="1" t="s">
        <v>6</v>
      </c>
      <c r="D12" s="1"/>
      <c r="G12" s="162" t="s">
        <v>94</v>
      </c>
      <c r="H12" s="163">
        <v>80</v>
      </c>
      <c r="I12" s="163">
        <v>7</v>
      </c>
      <c r="J12" s="222">
        <v>0.17665103956873054</v>
      </c>
    </row>
    <row r="13" spans="1:16" x14ac:dyDescent="0.2">
      <c r="B13" t="s">
        <v>0</v>
      </c>
      <c r="C13" s="9">
        <f>C8+(C2*C9)+(C3*C10)</f>
        <v>12.118</v>
      </c>
      <c r="D13" s="134" t="s">
        <v>90</v>
      </c>
      <c r="E13" s="132">
        <f>LOG10(C13)</f>
        <v>1.0834309481605111</v>
      </c>
      <c r="I13" s="24"/>
      <c r="J13" t="s">
        <v>129</v>
      </c>
    </row>
    <row r="14" spans="1:16" x14ac:dyDescent="0.2">
      <c r="B14" t="s">
        <v>9</v>
      </c>
      <c r="C14" s="3">
        <f>C10*(C3-C16)</f>
        <v>4.4695529411764685</v>
      </c>
      <c r="D14" s="2"/>
      <c r="G14" s="111" t="s">
        <v>84</v>
      </c>
      <c r="H14" s="5"/>
      <c r="I14" s="117" t="e">
        <f>VLOOKUP(C2,limit_listK,2,TRUE)</f>
        <v>#N/A</v>
      </c>
    </row>
    <row r="15" spans="1:16" x14ac:dyDescent="0.2">
      <c r="G15" s="5"/>
      <c r="H15" s="5"/>
      <c r="I15" s="5"/>
    </row>
    <row r="16" spans="1:16" x14ac:dyDescent="0.2">
      <c r="B16" s="5" t="s">
        <v>14</v>
      </c>
      <c r="C16" s="38">
        <v>13.2235294117647</v>
      </c>
      <c r="G16" s="215" t="s">
        <v>69</v>
      </c>
      <c r="H16" s="216"/>
      <c r="I16" s="5"/>
      <c r="K16" s="39"/>
      <c r="L16" s="40"/>
      <c r="M16" s="34"/>
      <c r="N16" s="39"/>
      <c r="O16" s="39"/>
      <c r="P16" s="39"/>
    </row>
    <row r="17" spans="2:16" x14ac:dyDescent="0.2">
      <c r="C17" s="3"/>
      <c r="G17" s="217" t="s">
        <v>121</v>
      </c>
      <c r="H17" s="218">
        <v>0</v>
      </c>
      <c r="I17" s="5"/>
      <c r="K17" s="26"/>
      <c r="L17" s="19"/>
      <c r="M17" s="35"/>
      <c r="N17" s="19"/>
      <c r="O17" s="19"/>
      <c r="P17" s="19"/>
    </row>
    <row r="18" spans="2:16" s="164" customFormat="1" ht="29.25" customHeight="1" x14ac:dyDescent="0.2">
      <c r="G18" s="219" t="s">
        <v>120</v>
      </c>
      <c r="H18" s="220" t="e">
        <f>VLOOKUP(I14,kat_listM,2,TRUE)</f>
        <v>#N/A</v>
      </c>
      <c r="I18" s="5"/>
      <c r="J18"/>
      <c r="K18" s="29"/>
      <c r="L18" s="23"/>
      <c r="M18" s="36"/>
      <c r="N18" s="23"/>
      <c r="O18" s="23"/>
      <c r="P18" s="23"/>
    </row>
    <row r="19" spans="2:16" s="164" customFormat="1" x14ac:dyDescent="0.2">
      <c r="B19" s="335" t="s">
        <v>127</v>
      </c>
      <c r="C19" s="63" t="s">
        <v>196</v>
      </c>
      <c r="D19" s="166"/>
      <c r="E19" s="167"/>
      <c r="F19" s="168"/>
      <c r="G19" s="5"/>
      <c r="H19" s="5"/>
      <c r="I19" s="5"/>
      <c r="K19" s="29"/>
      <c r="L19" s="23"/>
      <c r="M19" s="36"/>
      <c r="N19" s="23"/>
      <c r="O19" s="23"/>
      <c r="P19" s="23"/>
    </row>
    <row r="20" spans="2:16" s="164" customFormat="1" x14ac:dyDescent="0.2">
      <c r="C20" s="29"/>
      <c r="D20" s="23"/>
      <c r="E20" s="36"/>
      <c r="F20" s="29"/>
      <c r="G20" s="190" t="s">
        <v>71</v>
      </c>
      <c r="H20" s="191"/>
      <c r="I20" s="144"/>
      <c r="K20" s="29"/>
      <c r="L20" s="23"/>
      <c r="M20" s="36"/>
      <c r="N20" s="23"/>
      <c r="O20" s="23"/>
      <c r="P20" s="23"/>
    </row>
    <row r="21" spans="2:16" s="164" customFormat="1" ht="20.25" customHeight="1" x14ac:dyDescent="0.2">
      <c r="C21" s="29"/>
      <c r="D21" s="23"/>
      <c r="E21" s="36"/>
      <c r="F21" s="29"/>
      <c r="G21" s="204" t="s">
        <v>122</v>
      </c>
      <c r="H21" s="231" t="e">
        <f>100*(_xlfn.NORM.DIST(H2,0,H18,TRUE))</f>
        <v>#NUM!</v>
      </c>
      <c r="I21" s="149"/>
      <c r="K21" s="29"/>
      <c r="L21" s="23"/>
      <c r="M21" s="36"/>
      <c r="N21" s="23"/>
      <c r="O21" s="23"/>
      <c r="P21" s="23"/>
    </row>
    <row r="22" spans="2:16" s="164" customFormat="1" ht="30.75" customHeight="1" x14ac:dyDescent="0.2">
      <c r="C22" s="29"/>
      <c r="D22" s="23"/>
      <c r="E22" s="36"/>
      <c r="F22" s="29"/>
      <c r="G22" s="203" t="s">
        <v>126</v>
      </c>
      <c r="H22" s="192" t="e">
        <f>_xlfn.NORM.S.INV(H21/100)</f>
        <v>#NUM!</v>
      </c>
      <c r="I22" s="149"/>
      <c r="K22" s="29"/>
      <c r="L22" s="23"/>
      <c r="M22" s="36"/>
      <c r="N22" s="23"/>
      <c r="O22" s="23"/>
      <c r="P22" s="23"/>
    </row>
    <row r="23" spans="2:16" s="164" customFormat="1" x14ac:dyDescent="0.2">
      <c r="C23" s="29"/>
      <c r="D23" s="23"/>
      <c r="E23" s="36"/>
      <c r="F23" s="29"/>
      <c r="G23" s="36"/>
      <c r="H23" s="36"/>
      <c r="I23" s="21"/>
      <c r="K23" s="29"/>
      <c r="L23" s="23"/>
      <c r="M23" s="36"/>
      <c r="N23" s="23"/>
      <c r="O23" s="23"/>
      <c r="P23" s="23"/>
    </row>
    <row r="24" spans="2:16" s="164" customFormat="1" x14ac:dyDescent="0.2">
      <c r="C24" s="29"/>
      <c r="D24" s="23"/>
      <c r="E24" s="36"/>
      <c r="F24" s="29"/>
      <c r="G24" s="21"/>
      <c r="H24" s="21"/>
      <c r="I24" s="21"/>
      <c r="K24" s="29"/>
      <c r="L24" s="23"/>
      <c r="M24" s="36"/>
      <c r="N24" s="23"/>
      <c r="O24" s="23"/>
      <c r="P24" s="23"/>
    </row>
    <row r="25" spans="2:16" s="164" customFormat="1" x14ac:dyDescent="0.2">
      <c r="C25" s="29"/>
      <c r="D25" s="23"/>
      <c r="E25" s="36"/>
      <c r="F25" s="29"/>
      <c r="G25" s="21"/>
      <c r="H25" s="21"/>
      <c r="I25" s="21"/>
      <c r="K25" s="29"/>
      <c r="L25" s="23"/>
      <c r="M25" s="36"/>
      <c r="O25" s="23"/>
      <c r="P25" s="23"/>
    </row>
    <row r="26" spans="2:16" s="164" customFormat="1" x14ac:dyDescent="0.2"/>
    <row r="27" spans="2:16" s="164" customFormat="1" x14ac:dyDescent="0.2">
      <c r="C27" s="106"/>
    </row>
    <row r="28" spans="2:16" s="164" customFormat="1" x14ac:dyDescent="0.2"/>
    <row r="29" spans="2:16" s="164" customFormat="1" x14ac:dyDescent="0.2">
      <c r="C29" s="169"/>
      <c r="D29" s="170"/>
      <c r="E29" s="169"/>
      <c r="F29" s="169"/>
      <c r="G29" s="169"/>
    </row>
    <row r="30" spans="2:16" s="164" customFormat="1" x14ac:dyDescent="0.2">
      <c r="C30" s="29"/>
      <c r="D30" s="36"/>
      <c r="E30" s="36"/>
      <c r="F30" s="36"/>
      <c r="G30" s="21"/>
    </row>
    <row r="31" spans="2:16" s="164" customFormat="1" x14ac:dyDescent="0.2">
      <c r="C31" s="29"/>
      <c r="D31" s="36"/>
      <c r="E31" s="36"/>
      <c r="F31" s="36"/>
      <c r="G31" s="21"/>
    </row>
    <row r="32" spans="2:16" s="164" customFormat="1" x14ac:dyDescent="0.2">
      <c r="C32" s="29"/>
      <c r="D32" s="36"/>
      <c r="E32" s="36"/>
      <c r="F32" s="36"/>
      <c r="G32" s="21"/>
    </row>
    <row r="33" spans="2:7" s="164" customFormat="1" x14ac:dyDescent="0.2">
      <c r="C33" s="29"/>
      <c r="D33" s="36"/>
      <c r="E33" s="36"/>
      <c r="F33" s="36"/>
      <c r="G33" s="21"/>
    </row>
    <row r="34" spans="2:7" s="164" customFormat="1" x14ac:dyDescent="0.2">
      <c r="B34" s="107"/>
      <c r="C34" s="29"/>
      <c r="D34" s="36"/>
      <c r="E34" s="21"/>
      <c r="F34" s="21"/>
      <c r="G34" s="21"/>
    </row>
    <row r="35" spans="2:7" s="164" customFormat="1" x14ac:dyDescent="0.2">
      <c r="C35" s="29"/>
      <c r="D35" s="36"/>
      <c r="E35" s="21"/>
      <c r="F35" s="21"/>
      <c r="G35" s="21"/>
    </row>
    <row r="36" spans="2:7" s="164" customFormat="1" x14ac:dyDescent="0.2"/>
    <row r="37" spans="2:7" s="164" customFormat="1" x14ac:dyDescent="0.2"/>
    <row r="38" spans="2:7" s="164" customFormat="1" x14ac:dyDescent="0.2">
      <c r="C38" s="108"/>
      <c r="D38" s="108"/>
      <c r="E38" s="108"/>
      <c r="F38" s="108"/>
    </row>
    <row r="39" spans="2:7" s="164" customFormat="1" x14ac:dyDescent="0.2">
      <c r="C39" s="172"/>
      <c r="D39" s="173"/>
      <c r="E39" s="165"/>
      <c r="F39" s="165"/>
    </row>
    <row r="40" spans="2:7" s="164" customFormat="1" x14ac:dyDescent="0.2"/>
    <row r="41" spans="2:7" s="164" customFormat="1"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7"/>
  <sheetViews>
    <sheetView zoomScale="120" zoomScaleNormal="120" workbookViewId="0">
      <selection activeCell="N19" sqref="N19"/>
    </sheetView>
  </sheetViews>
  <sheetFormatPr defaultRowHeight="12.75" x14ac:dyDescent="0.2"/>
  <cols>
    <col min="1" max="1" width="9.140625" style="232"/>
    <col min="2" max="2" width="36.85546875" style="232" customWidth="1"/>
    <col min="3" max="3" width="11.140625" style="232" bestFit="1" customWidth="1"/>
    <col min="4" max="4" width="9.140625" style="232"/>
    <col min="5" max="5" width="13.28515625" style="232" bestFit="1" customWidth="1"/>
    <col min="6" max="11" width="9.140625" style="232"/>
    <col min="12" max="12" width="4.5703125" style="232" customWidth="1"/>
    <col min="13" max="13" width="5.85546875" style="232" customWidth="1"/>
    <col min="14" max="14" width="5.140625" style="232" customWidth="1"/>
    <col min="15" max="16384" width="9.140625" style="232"/>
  </cols>
  <sheetData>
    <row r="1" spans="1:19" ht="18" x14ac:dyDescent="0.2">
      <c r="A1" s="58" t="s">
        <v>50</v>
      </c>
    </row>
    <row r="2" spans="1:19" s="63" customFormat="1" ht="12" x14ac:dyDescent="0.2">
      <c r="A2" s="63" t="s">
        <v>117</v>
      </c>
      <c r="B2" s="233" t="s">
        <v>15</v>
      </c>
      <c r="C2" s="234">
        <f>forside!B8</f>
        <v>0</v>
      </c>
      <c r="D2" s="90"/>
      <c r="E2" s="90"/>
      <c r="G2" s="316" t="s">
        <v>97</v>
      </c>
      <c r="H2" s="317" t="s">
        <v>115</v>
      </c>
      <c r="I2" s="235" t="s">
        <v>116</v>
      </c>
    </row>
    <row r="3" spans="1:19" s="63" customFormat="1" ht="12" x14ac:dyDescent="0.2">
      <c r="B3" s="178" t="s">
        <v>16</v>
      </c>
      <c r="C3" s="337">
        <f>forside!B11</f>
        <v>0</v>
      </c>
      <c r="D3" s="90"/>
      <c r="E3" s="90"/>
      <c r="G3" s="318">
        <v>0</v>
      </c>
      <c r="H3" s="242" t="s">
        <v>176</v>
      </c>
      <c r="I3" s="179">
        <v>1E-3</v>
      </c>
    </row>
    <row r="4" spans="1:19" s="63" customFormat="1" ht="12" x14ac:dyDescent="0.2">
      <c r="B4" s="178"/>
      <c r="C4" s="236"/>
      <c r="D4" s="90"/>
      <c r="E4" s="90"/>
      <c r="F4" s="68"/>
      <c r="G4" s="318">
        <v>34</v>
      </c>
      <c r="H4" s="242" t="s">
        <v>176</v>
      </c>
      <c r="I4" s="179">
        <v>0.26</v>
      </c>
    </row>
    <row r="5" spans="1:19" s="63" customFormat="1" ht="12" x14ac:dyDescent="0.2">
      <c r="B5" s="180" t="s">
        <v>17</v>
      </c>
      <c r="C5" s="237">
        <f>forside!B24</f>
        <v>0</v>
      </c>
      <c r="D5" s="91" t="s">
        <v>130</v>
      </c>
      <c r="E5" s="238" t="e">
        <f>LOG10(C5)</f>
        <v>#NUM!</v>
      </c>
      <c r="F5" s="67"/>
      <c r="G5" s="318">
        <v>35</v>
      </c>
      <c r="H5" s="242">
        <v>1</v>
      </c>
      <c r="I5" s="179">
        <v>0.78</v>
      </c>
    </row>
    <row r="6" spans="1:19" s="63" customFormat="1" ht="12" x14ac:dyDescent="0.2">
      <c r="G6" s="318">
        <v>36</v>
      </c>
      <c r="H6" s="242">
        <v>2</v>
      </c>
      <c r="I6" s="179">
        <v>1.56</v>
      </c>
    </row>
    <row r="7" spans="1:19" s="63" customFormat="1" ht="12" x14ac:dyDescent="0.2">
      <c r="B7" s="68" t="s">
        <v>5</v>
      </c>
      <c r="G7" s="318">
        <v>37</v>
      </c>
      <c r="H7" s="242">
        <v>3</v>
      </c>
      <c r="I7" s="179">
        <v>2.86</v>
      </c>
    </row>
    <row r="8" spans="1:19" s="63" customFormat="1" ht="12" x14ac:dyDescent="0.2">
      <c r="B8" s="63" t="s">
        <v>1</v>
      </c>
      <c r="C8" s="239">
        <v>37.784249030540494</v>
      </c>
      <c r="D8" s="239"/>
      <c r="E8" s="239"/>
      <c r="G8" s="318">
        <v>38</v>
      </c>
      <c r="H8" s="242" t="s">
        <v>103</v>
      </c>
      <c r="I8" s="179">
        <v>4.95</v>
      </c>
    </row>
    <row r="9" spans="1:19" s="63" customFormat="1" ht="12" x14ac:dyDescent="0.2">
      <c r="B9" s="63" t="s">
        <v>2</v>
      </c>
      <c r="C9" s="239">
        <v>0.26389375420218991</v>
      </c>
      <c r="D9" s="239"/>
      <c r="E9" s="239"/>
      <c r="G9" s="318">
        <v>39</v>
      </c>
      <c r="H9" s="242" t="s">
        <v>104</v>
      </c>
      <c r="I9" s="179">
        <v>7.81</v>
      </c>
    </row>
    <row r="10" spans="1:19" s="63" customFormat="1" ht="12" x14ac:dyDescent="0.2">
      <c r="B10" s="63" t="s">
        <v>3</v>
      </c>
      <c r="C10" s="239">
        <v>-2.7247132688740022E-3</v>
      </c>
      <c r="D10" s="239"/>
      <c r="E10" s="239"/>
      <c r="G10" s="318">
        <v>40</v>
      </c>
      <c r="H10" s="242" t="s">
        <v>105</v>
      </c>
      <c r="I10" s="179">
        <v>11.2</v>
      </c>
    </row>
    <row r="11" spans="1:19" s="63" customFormat="1" ht="12" x14ac:dyDescent="0.2">
      <c r="B11" s="63" t="s">
        <v>4</v>
      </c>
      <c r="C11" s="239">
        <v>0.13819376080897877</v>
      </c>
      <c r="D11" s="239"/>
      <c r="E11" s="239"/>
      <c r="G11" s="318">
        <v>41</v>
      </c>
      <c r="H11" s="242" t="s">
        <v>106</v>
      </c>
      <c r="I11" s="179">
        <v>13.8</v>
      </c>
    </row>
    <row r="12" spans="1:19" s="63" customFormat="1" ht="12" x14ac:dyDescent="0.2">
      <c r="G12" s="318">
        <v>42</v>
      </c>
      <c r="H12" s="242" t="s">
        <v>107</v>
      </c>
      <c r="I12" s="179">
        <v>16.670000000000002</v>
      </c>
    </row>
    <row r="13" spans="1:19" s="63" customFormat="1" ht="12" x14ac:dyDescent="0.2">
      <c r="C13" s="68" t="s">
        <v>6</v>
      </c>
      <c r="D13" s="68"/>
      <c r="E13" s="68"/>
      <c r="F13" s="68"/>
      <c r="G13" s="318">
        <v>43</v>
      </c>
      <c r="H13" s="242" t="s">
        <v>108</v>
      </c>
      <c r="I13" s="179">
        <v>22.14</v>
      </c>
    </row>
    <row r="14" spans="1:19" s="63" customFormat="1" ht="12" x14ac:dyDescent="0.2">
      <c r="B14" s="63" t="s">
        <v>0</v>
      </c>
      <c r="C14" s="73">
        <f>C8+(C2*C9)+(C2*C2*C10)+(C3*C11)</f>
        <v>37.784249030540494</v>
      </c>
      <c r="D14" s="67" t="s">
        <v>131</v>
      </c>
      <c r="E14" s="238">
        <f>LOG10(C14)</f>
        <v>1.5773107949504228</v>
      </c>
      <c r="F14" s="67"/>
      <c r="G14" s="318">
        <v>44</v>
      </c>
      <c r="H14" s="242" t="s">
        <v>109</v>
      </c>
      <c r="I14" s="179">
        <v>29.17</v>
      </c>
    </row>
    <row r="15" spans="1:19" s="63" customFormat="1" ht="12" x14ac:dyDescent="0.2">
      <c r="B15" s="63" t="s">
        <v>9</v>
      </c>
      <c r="C15" s="66">
        <f>C11*(C3-C17)</f>
        <v>-1.8022769638837655</v>
      </c>
      <c r="D15" s="66"/>
      <c r="E15" s="66"/>
      <c r="F15" s="67"/>
      <c r="G15" s="318">
        <v>45</v>
      </c>
      <c r="H15" s="242" t="s">
        <v>110</v>
      </c>
      <c r="I15" s="179">
        <v>36.979999999999997</v>
      </c>
    </row>
    <row r="16" spans="1:19" s="63" customFormat="1" ht="12" x14ac:dyDescent="0.2">
      <c r="G16" s="318">
        <v>46</v>
      </c>
      <c r="H16" s="242" t="s">
        <v>111</v>
      </c>
      <c r="I16" s="179">
        <v>47.14</v>
      </c>
      <c r="M16" s="182"/>
      <c r="N16" s="183"/>
      <c r="O16" s="184"/>
      <c r="P16" s="184"/>
      <c r="Q16" s="182"/>
      <c r="R16" s="182"/>
      <c r="S16" s="182"/>
    </row>
    <row r="17" spans="2:19" s="63" customFormat="1" ht="12" x14ac:dyDescent="0.2">
      <c r="B17" s="63" t="s">
        <v>14</v>
      </c>
      <c r="C17" s="240">
        <v>13.041666666666671</v>
      </c>
      <c r="D17" s="241"/>
      <c r="E17" s="241"/>
      <c r="G17" s="318">
        <v>47</v>
      </c>
      <c r="H17" s="242" t="s">
        <v>112</v>
      </c>
      <c r="I17" s="179">
        <v>59.64</v>
      </c>
      <c r="M17" s="242"/>
      <c r="N17" s="243"/>
      <c r="O17" s="244"/>
      <c r="P17" s="242"/>
      <c r="Q17" s="243"/>
      <c r="R17" s="243"/>
      <c r="S17" s="243"/>
    </row>
    <row r="18" spans="2:19" s="63" customFormat="1" ht="12" x14ac:dyDescent="0.2">
      <c r="C18" s="66"/>
      <c r="D18" s="66"/>
      <c r="E18" s="66"/>
      <c r="G18" s="318">
        <v>48</v>
      </c>
      <c r="H18" s="242" t="s">
        <v>113</v>
      </c>
      <c r="I18" s="179">
        <v>73.44</v>
      </c>
      <c r="M18" s="242"/>
      <c r="N18" s="243"/>
      <c r="O18" s="244"/>
      <c r="P18" s="242"/>
      <c r="Q18" s="243"/>
      <c r="R18" s="243"/>
      <c r="S18" s="243"/>
    </row>
    <row r="19" spans="2:19" s="63" customFormat="1" ht="12" x14ac:dyDescent="0.2">
      <c r="C19" s="63" t="s">
        <v>132</v>
      </c>
      <c r="E19" s="74" t="e">
        <f>E5-E14</f>
        <v>#NUM!</v>
      </c>
      <c r="F19" s="63" t="s">
        <v>119</v>
      </c>
      <c r="G19" s="318">
        <v>49</v>
      </c>
      <c r="H19" s="242" t="s">
        <v>114</v>
      </c>
      <c r="I19" s="179">
        <v>86.46</v>
      </c>
      <c r="M19" s="242"/>
      <c r="N19" s="243"/>
      <c r="O19" s="244"/>
      <c r="P19" s="242"/>
      <c r="Q19" s="243"/>
      <c r="R19" s="243"/>
      <c r="S19" s="243"/>
    </row>
    <row r="20" spans="2:19" s="87" customFormat="1" ht="12" x14ac:dyDescent="0.2">
      <c r="C20" s="88"/>
      <c r="D20" s="88"/>
      <c r="E20" s="88"/>
      <c r="F20" s="88"/>
      <c r="G20" s="319">
        <v>50</v>
      </c>
      <c r="H20" s="320" t="s">
        <v>179</v>
      </c>
      <c r="I20" s="181">
        <v>96.09</v>
      </c>
      <c r="J20" s="63"/>
      <c r="K20" s="88"/>
      <c r="M20" s="90"/>
      <c r="N20" s="91"/>
      <c r="O20" s="95"/>
      <c r="P20" s="90"/>
      <c r="Q20" s="91"/>
      <c r="R20" s="91"/>
      <c r="S20" s="91"/>
    </row>
    <row r="21" spans="2:19" s="87" customFormat="1" ht="12" x14ac:dyDescent="0.2">
      <c r="B21" s="92" t="s">
        <v>69</v>
      </c>
      <c r="C21" s="90"/>
      <c r="D21" s="90"/>
      <c r="E21" s="90"/>
      <c r="F21" s="91"/>
      <c r="G21" s="95"/>
      <c r="H21" s="90"/>
      <c r="I21" s="95"/>
      <c r="J21" s="95"/>
      <c r="K21" s="95"/>
      <c r="M21" s="90"/>
      <c r="N21" s="91"/>
      <c r="O21" s="95"/>
      <c r="P21" s="90"/>
      <c r="Q21" s="91"/>
      <c r="R21" s="91"/>
      <c r="S21" s="91"/>
    </row>
    <row r="22" spans="2:19" s="87" customFormat="1" ht="12" x14ac:dyDescent="0.2">
      <c r="B22" s="87" t="s">
        <v>121</v>
      </c>
      <c r="C22" s="90">
        <v>0</v>
      </c>
      <c r="D22" s="90"/>
      <c r="E22" s="90"/>
      <c r="F22" s="245" t="s">
        <v>118</v>
      </c>
      <c r="G22" s="246" t="s">
        <v>98</v>
      </c>
      <c r="H22" s="289" t="str">
        <f>VLOOKUP(C5,pct_50ord,2,TRUE)</f>
        <v>&lt;1</v>
      </c>
      <c r="I22" s="247">
        <f>VLOOKUP(C5,G3:I20,3,TRUE)</f>
        <v>1E-3</v>
      </c>
      <c r="J22" s="95"/>
      <c r="K22" s="95"/>
      <c r="M22" s="90"/>
      <c r="N22" s="91"/>
      <c r="O22" s="95"/>
      <c r="P22" s="90"/>
      <c r="Q22" s="91"/>
      <c r="R22" s="91"/>
      <c r="S22" s="91"/>
    </row>
    <row r="23" spans="2:19" s="87" customFormat="1" ht="12" x14ac:dyDescent="0.2">
      <c r="B23" s="87" t="s">
        <v>133</v>
      </c>
      <c r="C23" s="90">
        <v>4.2565333547487393E-2</v>
      </c>
      <c r="D23" s="90"/>
      <c r="E23" s="90"/>
      <c r="F23" s="248"/>
      <c r="G23" s="249" t="s">
        <v>89</v>
      </c>
      <c r="H23" s="250">
        <f>_xlfn.NORM.S.INV(I22/100)</f>
        <v>-4.2648907939228256</v>
      </c>
      <c r="I23" s="251"/>
      <c r="J23" s="95"/>
      <c r="K23" s="95"/>
      <c r="M23" s="90"/>
      <c r="N23" s="91"/>
      <c r="O23" s="95"/>
      <c r="P23" s="90"/>
      <c r="Q23" s="91"/>
      <c r="R23" s="91"/>
      <c r="S23" s="91"/>
    </row>
    <row r="24" spans="2:19" s="87" customFormat="1" ht="12" x14ac:dyDescent="0.2">
      <c r="C24" s="90"/>
      <c r="D24" s="90"/>
      <c r="E24" s="90"/>
      <c r="F24" s="91"/>
      <c r="G24" s="95"/>
      <c r="H24" s="90"/>
      <c r="I24" s="95"/>
      <c r="J24" s="95"/>
      <c r="K24" s="95"/>
    </row>
    <row r="25" spans="2:19" s="87" customFormat="1" ht="12" x14ac:dyDescent="0.2">
      <c r="B25" s="92" t="s">
        <v>71</v>
      </c>
      <c r="C25" s="90"/>
      <c r="D25" s="90"/>
      <c r="E25" s="90"/>
      <c r="F25" s="252"/>
      <c r="G25" s="253"/>
      <c r="H25" s="90"/>
      <c r="I25" s="95"/>
      <c r="J25" s="95"/>
      <c r="K25" s="95"/>
    </row>
    <row r="26" spans="2:19" s="87" customFormat="1" ht="12" x14ac:dyDescent="0.2">
      <c r="B26" s="87" t="s">
        <v>122</v>
      </c>
      <c r="C26" s="95" t="e">
        <f>100*(NORMDIST(E19,0,C23,TRUE))</f>
        <v>#NUM!</v>
      </c>
      <c r="D26" s="90" t="s">
        <v>141</v>
      </c>
      <c r="E26" s="90"/>
      <c r="F26" s="91"/>
      <c r="G26" s="95"/>
      <c r="H26" s="90"/>
      <c r="I26" s="95"/>
      <c r="J26" s="95"/>
      <c r="K26" s="95"/>
    </row>
    <row r="27" spans="2:19" s="87" customFormat="1" ht="12" x14ac:dyDescent="0.2">
      <c r="B27" s="87" t="s">
        <v>126</v>
      </c>
      <c r="C27" s="95" t="e">
        <f>_xlfn.NORM.S.INV(C26/100)</f>
        <v>#NUM!</v>
      </c>
    </row>
    <row r="28" spans="2:19" s="87" customFormat="1" ht="12" x14ac:dyDescent="0.2">
      <c r="B28" s="335" t="s">
        <v>127</v>
      </c>
      <c r="C28" s="63" t="s">
        <v>196</v>
      </c>
      <c r="D28" s="92"/>
    </row>
    <row r="29" spans="2:19" s="87" customFormat="1" ht="12" x14ac:dyDescent="0.2"/>
    <row r="30" spans="2:19" s="87" customFormat="1" ht="12" x14ac:dyDescent="0.2">
      <c r="C30" s="93"/>
      <c r="D30" s="93"/>
    </row>
    <row r="31" spans="2:19" s="87" customFormat="1" ht="12" x14ac:dyDescent="0.2">
      <c r="C31" s="90"/>
      <c r="D31" s="90"/>
    </row>
    <row r="32" spans="2:19" s="87" customFormat="1" ht="12" x14ac:dyDescent="0.2">
      <c r="C32" s="90"/>
      <c r="D32" s="90"/>
    </row>
    <row r="33" spans="2:4" s="87" customFormat="1" ht="12" x14ac:dyDescent="0.2">
      <c r="C33" s="90"/>
      <c r="D33" s="90"/>
    </row>
    <row r="34" spans="2:4" s="87" customFormat="1" ht="12" x14ac:dyDescent="0.2">
      <c r="B34" s="96"/>
      <c r="C34" s="90"/>
      <c r="D34" s="90"/>
    </row>
    <row r="35" spans="2:4" s="87" customFormat="1" ht="12" x14ac:dyDescent="0.2">
      <c r="C35" s="90"/>
      <c r="D35" s="90"/>
    </row>
    <row r="36" spans="2:4" s="87" customFormat="1" ht="12" x14ac:dyDescent="0.2">
      <c r="C36" s="90"/>
      <c r="D36" s="90"/>
    </row>
    <row r="37" spans="2:4" s="87" customFormat="1" ht="12" x14ac:dyDescent="0.2"/>
    <row r="38" spans="2:4" s="87" customFormat="1" ht="12" x14ac:dyDescent="0.2"/>
    <row r="39" spans="2:4" s="87" customFormat="1" ht="12" x14ac:dyDescent="0.2">
      <c r="C39" s="97"/>
      <c r="D39" s="97"/>
    </row>
    <row r="40" spans="2:4" s="87" customFormat="1" ht="12" x14ac:dyDescent="0.2">
      <c r="C40" s="98"/>
      <c r="D40" s="98"/>
    </row>
    <row r="41" spans="2:4" s="87" customFormat="1" ht="12" x14ac:dyDescent="0.2"/>
    <row r="42" spans="2:4" s="87" customFormat="1" ht="12" x14ac:dyDescent="0.2"/>
    <row r="43" spans="2:4" s="63" customFormat="1" ht="12" x14ac:dyDescent="0.2"/>
    <row r="44" spans="2:4" s="63" customFormat="1" ht="12" x14ac:dyDescent="0.2"/>
    <row r="45" spans="2:4" s="63" customFormat="1" ht="12" x14ac:dyDescent="0.2"/>
    <row r="46" spans="2:4" s="63" customFormat="1" ht="12" x14ac:dyDescent="0.2"/>
    <row r="47" spans="2:4" s="63" customFormat="1" ht="12"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2"/>
  <sheetViews>
    <sheetView workbookViewId="0">
      <selection activeCell="B2" sqref="B2:C5"/>
    </sheetView>
  </sheetViews>
  <sheetFormatPr defaultRowHeight="12.75" x14ac:dyDescent="0.2"/>
  <cols>
    <col min="1" max="1" width="9.140625" style="255"/>
    <col min="2" max="2" width="36.5703125" style="255" customWidth="1"/>
    <col min="3" max="3" width="13.5703125" style="255" bestFit="1" customWidth="1"/>
    <col min="4" max="4" width="13.5703125" style="255" customWidth="1"/>
    <col min="5" max="5" width="15.140625" style="255" customWidth="1"/>
    <col min="6" max="6" width="9.140625" style="232"/>
    <col min="7" max="8" width="9.140625" style="206"/>
    <col min="9" max="11" width="9.140625" style="255"/>
    <col min="12" max="12" width="5.28515625" style="255" customWidth="1"/>
    <col min="13" max="13" width="6.5703125" style="255" customWidth="1"/>
    <col min="14" max="14" width="4.5703125" style="255" customWidth="1"/>
    <col min="15" max="16384" width="9.140625" style="255"/>
  </cols>
  <sheetData>
    <row r="1" spans="1:14" ht="18" x14ac:dyDescent="0.2">
      <c r="A1" s="58" t="s">
        <v>51</v>
      </c>
    </row>
    <row r="2" spans="1:14" s="63" customFormat="1" ht="12" x14ac:dyDescent="0.2">
      <c r="B2" s="233" t="s">
        <v>15</v>
      </c>
      <c r="C2" s="343">
        <f>forside!B8</f>
        <v>0</v>
      </c>
      <c r="D2" s="65"/>
      <c r="E2" s="65"/>
      <c r="G2" s="258" t="s">
        <v>15</v>
      </c>
      <c r="H2" s="258" t="s">
        <v>77</v>
      </c>
      <c r="I2" s="258" t="s">
        <v>85</v>
      </c>
      <c r="K2" s="259"/>
    </row>
    <row r="3" spans="1:14" s="63" customFormat="1" ht="12" x14ac:dyDescent="0.2">
      <c r="B3" s="178" t="s">
        <v>16</v>
      </c>
      <c r="C3" s="344">
        <f>forside!B11</f>
        <v>0</v>
      </c>
      <c r="D3" s="65"/>
      <c r="E3" s="65"/>
      <c r="G3" s="260" t="s">
        <v>47</v>
      </c>
      <c r="H3" s="261">
        <v>20</v>
      </c>
      <c r="I3" s="261">
        <v>1</v>
      </c>
    </row>
    <row r="4" spans="1:14" s="63" customFormat="1" ht="12" x14ac:dyDescent="0.2">
      <c r="B4" s="178"/>
      <c r="C4" s="236"/>
      <c r="D4" s="65"/>
      <c r="E4" s="65"/>
      <c r="F4" s="68"/>
      <c r="G4" s="260" t="s">
        <v>101</v>
      </c>
      <c r="H4" s="261">
        <v>60</v>
      </c>
      <c r="I4" s="261">
        <v>2</v>
      </c>
    </row>
    <row r="5" spans="1:14" s="63" customFormat="1" ht="12" x14ac:dyDescent="0.2">
      <c r="B5" s="180" t="s">
        <v>17</v>
      </c>
      <c r="C5" s="345">
        <f>forside!B25</f>
        <v>0</v>
      </c>
      <c r="D5" s="91" t="s">
        <v>130</v>
      </c>
      <c r="E5" s="238" t="e">
        <f>LOG10(C5)</f>
        <v>#NUM!</v>
      </c>
      <c r="F5" s="67"/>
      <c r="G5" s="242"/>
      <c r="H5" s="56"/>
    </row>
    <row r="6" spans="1:14" s="63" customFormat="1" ht="12" x14ac:dyDescent="0.2">
      <c r="G6" s="64" t="s">
        <v>84</v>
      </c>
      <c r="H6" s="63" t="e">
        <f>VLOOKUP(C2,H3:I4,2,TRUE)</f>
        <v>#N/A</v>
      </c>
    </row>
    <row r="7" spans="1:14" s="63" customFormat="1" ht="12" x14ac:dyDescent="0.2">
      <c r="B7" s="68" t="s">
        <v>5</v>
      </c>
      <c r="G7" s="64"/>
      <c r="H7" s="64"/>
    </row>
    <row r="8" spans="1:14" s="63" customFormat="1" ht="12" x14ac:dyDescent="0.2">
      <c r="B8" s="63" t="s">
        <v>1</v>
      </c>
      <c r="C8" s="239">
        <v>41.710636623845204</v>
      </c>
      <c r="D8" s="239"/>
      <c r="E8" s="239"/>
      <c r="G8" s="242"/>
      <c r="H8" s="56" t="s">
        <v>168</v>
      </c>
      <c r="J8" s="63" t="s">
        <v>169</v>
      </c>
    </row>
    <row r="9" spans="1:14" s="63" customFormat="1" ht="12" x14ac:dyDescent="0.2">
      <c r="B9" s="63" t="s">
        <v>2</v>
      </c>
      <c r="C9" s="239">
        <v>-1.8018791391014107E-3</v>
      </c>
      <c r="D9" s="239"/>
      <c r="E9" s="239"/>
      <c r="G9" s="54" t="s">
        <v>97</v>
      </c>
      <c r="H9" s="54" t="s">
        <v>99</v>
      </c>
      <c r="I9" s="176" t="s">
        <v>142</v>
      </c>
      <c r="J9" s="175" t="s">
        <v>100</v>
      </c>
      <c r="K9" s="176" t="s">
        <v>143</v>
      </c>
    </row>
    <row r="10" spans="1:14" s="63" customFormat="1" ht="12" x14ac:dyDescent="0.2">
      <c r="B10" s="63" t="s">
        <v>3</v>
      </c>
      <c r="C10" s="262"/>
      <c r="D10" s="262"/>
      <c r="E10" s="262"/>
      <c r="G10" s="49">
        <v>0</v>
      </c>
      <c r="H10" s="49">
        <v>1E-3</v>
      </c>
      <c r="I10" s="50" t="s">
        <v>176</v>
      </c>
      <c r="J10" s="81">
        <v>1E-3</v>
      </c>
      <c r="K10" s="50" t="s">
        <v>176</v>
      </c>
    </row>
    <row r="11" spans="1:14" s="63" customFormat="1" ht="12" x14ac:dyDescent="0.2">
      <c r="B11" s="63" t="s">
        <v>4</v>
      </c>
      <c r="C11" s="239">
        <v>0.24257756341909356</v>
      </c>
      <c r="D11" s="239"/>
      <c r="E11" s="239"/>
      <c r="G11" s="49">
        <v>32</v>
      </c>
      <c r="H11" s="49">
        <v>1E-3</v>
      </c>
      <c r="I11" s="50" t="s">
        <v>176</v>
      </c>
      <c r="J11" s="81">
        <v>1.1100000000000001</v>
      </c>
      <c r="K11" s="50">
        <v>1</v>
      </c>
    </row>
    <row r="12" spans="1:14" s="63" customFormat="1" ht="12" x14ac:dyDescent="0.2">
      <c r="G12" s="49">
        <v>33</v>
      </c>
      <c r="H12" s="49">
        <v>0.5</v>
      </c>
      <c r="I12" s="50" t="s">
        <v>176</v>
      </c>
      <c r="J12" s="81">
        <v>2</v>
      </c>
      <c r="K12" s="50">
        <v>2</v>
      </c>
    </row>
    <row r="13" spans="1:14" s="63" customFormat="1" ht="12" x14ac:dyDescent="0.2">
      <c r="C13" s="68" t="s">
        <v>6</v>
      </c>
      <c r="D13" s="68"/>
      <c r="E13" s="68"/>
      <c r="F13" s="68"/>
      <c r="G13" s="49">
        <v>34</v>
      </c>
      <c r="H13" s="49">
        <v>0.68</v>
      </c>
      <c r="I13" s="50">
        <v>1</v>
      </c>
      <c r="J13" s="81">
        <v>3.33</v>
      </c>
      <c r="K13" s="50" t="s">
        <v>144</v>
      </c>
    </row>
    <row r="14" spans="1:14" s="63" customFormat="1" ht="12" x14ac:dyDescent="0.2">
      <c r="B14" s="63" t="s">
        <v>0</v>
      </c>
      <c r="C14" s="73">
        <f>C8+(C2*C9)+(C3*C11)</f>
        <v>41.710636623845204</v>
      </c>
      <c r="D14" s="67" t="s">
        <v>131</v>
      </c>
      <c r="E14" s="238">
        <f>LOG10(C14)</f>
        <v>1.6202468184747705</v>
      </c>
      <c r="F14" s="67"/>
      <c r="G14" s="49">
        <v>35</v>
      </c>
      <c r="H14" s="49">
        <v>1.7</v>
      </c>
      <c r="I14" s="50">
        <v>2</v>
      </c>
      <c r="J14" s="81">
        <v>5.56</v>
      </c>
      <c r="K14" s="50">
        <v>5</v>
      </c>
    </row>
    <row r="15" spans="1:14" s="63" customFormat="1" ht="12" x14ac:dyDescent="0.2">
      <c r="B15" s="63" t="s">
        <v>9</v>
      </c>
      <c r="C15" s="66">
        <f>C17*(C3-C17)</f>
        <v>-170.08506944444457</v>
      </c>
      <c r="D15" s="66"/>
      <c r="E15" s="66"/>
      <c r="F15" s="67"/>
      <c r="G15" s="49">
        <v>36</v>
      </c>
      <c r="H15" s="49">
        <v>2.72</v>
      </c>
      <c r="I15" s="50">
        <v>3</v>
      </c>
      <c r="J15" s="81">
        <v>6</v>
      </c>
      <c r="K15" s="50">
        <v>6</v>
      </c>
    </row>
    <row r="16" spans="1:14" s="63" customFormat="1" ht="12" x14ac:dyDescent="0.2">
      <c r="G16" s="49">
        <v>37</v>
      </c>
      <c r="H16" s="49">
        <v>4.08</v>
      </c>
      <c r="I16" s="50" t="s">
        <v>138</v>
      </c>
      <c r="J16" s="81">
        <v>7</v>
      </c>
      <c r="K16" s="50">
        <v>7</v>
      </c>
      <c r="M16" s="182"/>
      <c r="N16" s="183"/>
    </row>
    <row r="17" spans="2:19" s="63" customFormat="1" ht="12" x14ac:dyDescent="0.2">
      <c r="B17" s="63" t="s">
        <v>14</v>
      </c>
      <c r="C17" s="240">
        <v>13.041666666666671</v>
      </c>
      <c r="D17" s="241"/>
      <c r="E17" s="241"/>
      <c r="G17" s="49">
        <v>38</v>
      </c>
      <c r="H17" s="49">
        <v>6.12</v>
      </c>
      <c r="I17" s="50" t="s">
        <v>145</v>
      </c>
      <c r="J17" s="81">
        <v>7.78</v>
      </c>
      <c r="K17" s="50" t="s">
        <v>146</v>
      </c>
      <c r="M17" s="182"/>
      <c r="N17" s="183"/>
      <c r="O17" s="184"/>
      <c r="P17" s="184"/>
      <c r="Q17" s="182"/>
      <c r="R17" s="182"/>
      <c r="S17" s="182"/>
    </row>
    <row r="18" spans="2:19" s="63" customFormat="1" ht="12" x14ac:dyDescent="0.2">
      <c r="C18" s="66"/>
      <c r="D18" s="66"/>
      <c r="E18" s="66"/>
      <c r="G18" s="49">
        <v>39</v>
      </c>
      <c r="H18" s="49">
        <v>8.5</v>
      </c>
      <c r="I18" s="50" t="s">
        <v>147</v>
      </c>
      <c r="J18" s="81">
        <v>10</v>
      </c>
      <c r="K18" s="50" t="s">
        <v>148</v>
      </c>
      <c r="M18" s="242"/>
      <c r="N18" s="243"/>
      <c r="O18" s="244"/>
      <c r="P18" s="242"/>
      <c r="Q18" s="243"/>
      <c r="R18" s="243"/>
      <c r="S18" s="243"/>
    </row>
    <row r="19" spans="2:19" s="87" customFormat="1" ht="12" x14ac:dyDescent="0.2">
      <c r="C19" s="63" t="s">
        <v>132</v>
      </c>
      <c r="E19" s="263" t="e">
        <f>E5-E14</f>
        <v>#NUM!</v>
      </c>
      <c r="F19" s="87" t="s">
        <v>119</v>
      </c>
      <c r="G19" s="49">
        <v>40</v>
      </c>
      <c r="H19" s="49">
        <v>11.9</v>
      </c>
      <c r="I19" s="50" t="s">
        <v>149</v>
      </c>
      <c r="J19" s="81">
        <v>12.22</v>
      </c>
      <c r="K19" s="50" t="s">
        <v>150</v>
      </c>
      <c r="M19" s="90"/>
      <c r="N19" s="91"/>
      <c r="O19" s="95"/>
      <c r="P19" s="90"/>
      <c r="Q19" s="91"/>
      <c r="R19" s="91"/>
      <c r="S19" s="91"/>
    </row>
    <row r="20" spans="2:19" s="87" customFormat="1" ht="12" x14ac:dyDescent="0.2">
      <c r="C20" s="88"/>
      <c r="D20" s="88"/>
      <c r="E20" s="88"/>
      <c r="F20" s="88"/>
      <c r="G20" s="49">
        <v>41</v>
      </c>
      <c r="H20" s="49">
        <v>16.670000000000002</v>
      </c>
      <c r="I20" s="50" t="s">
        <v>107</v>
      </c>
      <c r="J20" s="81">
        <v>14.44</v>
      </c>
      <c r="K20" s="50" t="s">
        <v>151</v>
      </c>
      <c r="M20" s="90"/>
      <c r="N20" s="91"/>
      <c r="O20" s="95"/>
      <c r="P20" s="90"/>
      <c r="Q20" s="91"/>
      <c r="R20" s="91"/>
      <c r="S20" s="91"/>
    </row>
    <row r="21" spans="2:19" s="87" customFormat="1" ht="12" x14ac:dyDescent="0.2">
      <c r="B21" s="92" t="s">
        <v>69</v>
      </c>
      <c r="C21" s="90"/>
      <c r="D21" s="90"/>
      <c r="E21" s="90"/>
      <c r="F21" s="91"/>
      <c r="G21" s="49">
        <v>42</v>
      </c>
      <c r="H21" s="49">
        <v>22.79</v>
      </c>
      <c r="I21" s="50" t="s">
        <v>152</v>
      </c>
      <c r="J21" s="81">
        <v>18.89</v>
      </c>
      <c r="K21" s="50" t="s">
        <v>153</v>
      </c>
      <c r="M21" s="90"/>
      <c r="N21" s="91"/>
      <c r="O21" s="95"/>
      <c r="P21" s="90"/>
      <c r="Q21" s="91"/>
      <c r="R21" s="91"/>
      <c r="S21" s="91"/>
    </row>
    <row r="22" spans="2:19" s="87" customFormat="1" ht="12" x14ac:dyDescent="0.2">
      <c r="B22" s="87" t="s">
        <v>121</v>
      </c>
      <c r="C22" s="90">
        <v>0</v>
      </c>
      <c r="D22" s="90"/>
      <c r="E22" s="90"/>
      <c r="F22" s="91"/>
      <c r="G22" s="49">
        <v>43</v>
      </c>
      <c r="H22" s="49">
        <v>30.95</v>
      </c>
      <c r="I22" s="50" t="s">
        <v>154</v>
      </c>
      <c r="J22" s="81">
        <v>28.89</v>
      </c>
      <c r="K22" s="50" t="s">
        <v>155</v>
      </c>
      <c r="M22" s="90"/>
      <c r="N22" s="91"/>
      <c r="O22" s="95"/>
      <c r="P22" s="90"/>
      <c r="Q22" s="91"/>
      <c r="R22" s="91"/>
      <c r="S22" s="91"/>
    </row>
    <row r="23" spans="2:19" s="87" customFormat="1" ht="12" x14ac:dyDescent="0.2">
      <c r="B23" s="87" t="s">
        <v>133</v>
      </c>
      <c r="C23" s="90">
        <v>4.2565333547487393E-2</v>
      </c>
      <c r="D23" s="90"/>
      <c r="E23" s="90"/>
      <c r="F23" s="252"/>
      <c r="G23" s="49">
        <v>44</v>
      </c>
      <c r="H23" s="49">
        <v>40.14</v>
      </c>
      <c r="I23" s="50" t="s">
        <v>156</v>
      </c>
      <c r="J23" s="81">
        <v>37.78</v>
      </c>
      <c r="K23" s="50" t="s">
        <v>157</v>
      </c>
      <c r="M23" s="90"/>
      <c r="N23" s="91"/>
      <c r="O23" s="95"/>
      <c r="P23" s="90"/>
      <c r="Q23" s="91"/>
      <c r="R23" s="91"/>
      <c r="S23" s="91"/>
    </row>
    <row r="24" spans="2:19" s="87" customFormat="1" ht="12" x14ac:dyDescent="0.2">
      <c r="C24" s="90"/>
      <c r="D24" s="90"/>
      <c r="E24" s="90"/>
      <c r="F24" s="252"/>
      <c r="G24" s="49">
        <v>45</v>
      </c>
      <c r="H24" s="49">
        <v>48.64</v>
      </c>
      <c r="I24" s="50" t="s">
        <v>158</v>
      </c>
      <c r="J24" s="81">
        <v>45.56</v>
      </c>
      <c r="K24" s="50" t="s">
        <v>159</v>
      </c>
      <c r="M24" s="90"/>
      <c r="N24" s="91"/>
      <c r="O24" s="95"/>
      <c r="P24" s="90"/>
      <c r="Q24" s="91"/>
      <c r="R24" s="91"/>
      <c r="S24" s="91"/>
    </row>
    <row r="25" spans="2:19" s="87" customFormat="1" ht="12" x14ac:dyDescent="0.2">
      <c r="B25" s="92" t="s">
        <v>71</v>
      </c>
      <c r="C25" s="90"/>
      <c r="D25" s="90"/>
      <c r="E25" s="90"/>
      <c r="F25" s="91"/>
      <c r="G25" s="49">
        <v>46</v>
      </c>
      <c r="H25" s="49">
        <v>56.46</v>
      </c>
      <c r="I25" s="50" t="s">
        <v>160</v>
      </c>
      <c r="J25" s="81">
        <v>56.67</v>
      </c>
      <c r="K25" s="50" t="s">
        <v>161</v>
      </c>
    </row>
    <row r="26" spans="2:19" s="87" customFormat="1" ht="12" x14ac:dyDescent="0.2">
      <c r="B26" s="87" t="s">
        <v>122</v>
      </c>
      <c r="C26" s="95" t="e">
        <f>100*(NORMDIST(E19,0,C23,TRUE))</f>
        <v>#NUM!</v>
      </c>
      <c r="D26" s="90" t="s">
        <v>141</v>
      </c>
      <c r="E26" s="90"/>
      <c r="F26" s="91"/>
      <c r="G26" s="49">
        <v>47</v>
      </c>
      <c r="H26" s="49">
        <v>64.63</v>
      </c>
      <c r="I26" s="50" t="s">
        <v>162</v>
      </c>
      <c r="J26" s="81">
        <v>67.78</v>
      </c>
      <c r="K26" s="50" t="s">
        <v>163</v>
      </c>
    </row>
    <row r="27" spans="2:19" s="87" customFormat="1" ht="12" x14ac:dyDescent="0.2">
      <c r="B27" s="87" t="s">
        <v>126</v>
      </c>
      <c r="C27" s="95" t="e">
        <f>_xlfn.NORM.S.INV(C26/100)</f>
        <v>#NUM!</v>
      </c>
      <c r="G27" s="49">
        <v>48</v>
      </c>
      <c r="H27" s="49">
        <v>73.47</v>
      </c>
      <c r="I27" s="50" t="s">
        <v>164</v>
      </c>
      <c r="J27" s="81">
        <v>75.56</v>
      </c>
      <c r="K27" s="50" t="s">
        <v>165</v>
      </c>
    </row>
    <row r="28" spans="2:19" s="87" customFormat="1" ht="12" x14ac:dyDescent="0.2">
      <c r="B28" s="335" t="s">
        <v>127</v>
      </c>
      <c r="C28" s="63" t="s">
        <v>196</v>
      </c>
      <c r="D28" s="92"/>
      <c r="E28" s="92"/>
      <c r="G28" s="49">
        <v>49</v>
      </c>
      <c r="H28" s="49">
        <v>83.67</v>
      </c>
      <c r="I28" s="50" t="s">
        <v>166</v>
      </c>
      <c r="J28" s="81">
        <v>82.22</v>
      </c>
      <c r="K28" s="50" t="s">
        <v>167</v>
      </c>
    </row>
    <row r="29" spans="2:19" s="87" customFormat="1" ht="12" x14ac:dyDescent="0.2">
      <c r="G29" s="51">
        <v>50</v>
      </c>
      <c r="H29" s="51">
        <v>94.56</v>
      </c>
      <c r="I29" s="52" t="s">
        <v>177</v>
      </c>
      <c r="J29" s="177">
        <v>93.33</v>
      </c>
      <c r="K29" s="52" t="s">
        <v>178</v>
      </c>
    </row>
    <row r="30" spans="2:19" s="87" customFormat="1" ht="12" x14ac:dyDescent="0.2">
      <c r="C30" s="93"/>
      <c r="D30" s="93"/>
      <c r="E30" s="93"/>
      <c r="F30" s="93"/>
      <c r="G30" s="93"/>
      <c r="H30" s="93"/>
      <c r="I30" s="94"/>
    </row>
    <row r="31" spans="2:19" s="87" customFormat="1" ht="12" x14ac:dyDescent="0.2">
      <c r="C31" s="90"/>
      <c r="D31" s="90"/>
      <c r="E31" s="90"/>
      <c r="F31" s="95"/>
      <c r="G31" s="253" t="s">
        <v>102</v>
      </c>
      <c r="H31" s="95"/>
      <c r="I31" s="254" t="e" cm="1">
        <f t="array" ref="I31">_xlfn.IFS(H6=1,VLOOKUP(C5,G10:I29,3,TRUE),H6=2,VLOOKUP(C5,G10:K29,5,TRUE))</f>
        <v>#N/A</v>
      </c>
    </row>
    <row r="32" spans="2:19" s="87" customFormat="1" ht="12" x14ac:dyDescent="0.2">
      <c r="C32" s="90"/>
      <c r="D32" s="90"/>
      <c r="E32" s="90"/>
      <c r="F32" s="95"/>
      <c r="G32" s="95"/>
      <c r="H32" s="95"/>
      <c r="I32" s="95"/>
    </row>
    <row r="33" spans="2:9" s="87" customFormat="1" ht="12" x14ac:dyDescent="0.2">
      <c r="C33" s="90"/>
      <c r="D33" s="90"/>
      <c r="E33" s="92"/>
      <c r="F33" s="87" t="s">
        <v>92</v>
      </c>
      <c r="G33" s="87" t="s">
        <v>93</v>
      </c>
    </row>
    <row r="34" spans="2:9" s="87" customFormat="1" ht="12" x14ac:dyDescent="0.2">
      <c r="B34" s="96"/>
      <c r="C34" s="90"/>
      <c r="D34" s="90"/>
      <c r="E34" s="92" t="s">
        <v>15</v>
      </c>
      <c r="F34" s="92" t="s">
        <v>77</v>
      </c>
      <c r="G34" s="92" t="s">
        <v>85</v>
      </c>
      <c r="H34" s="92" t="s">
        <v>76</v>
      </c>
    </row>
    <row r="35" spans="2:9" s="87" customFormat="1" ht="12" x14ac:dyDescent="0.2">
      <c r="C35" s="90"/>
      <c r="D35" s="90"/>
      <c r="E35" s="223" t="s">
        <v>38</v>
      </c>
      <c r="F35" s="225">
        <v>20</v>
      </c>
      <c r="G35" s="225">
        <v>1</v>
      </c>
      <c r="H35" s="224">
        <v>5.1682882844182931E-2</v>
      </c>
      <c r="I35" s="94"/>
    </row>
    <row r="36" spans="2:9" s="87" customFormat="1" ht="12" x14ac:dyDescent="0.2">
      <c r="C36" s="90"/>
      <c r="D36" s="90"/>
      <c r="E36" s="223" t="s">
        <v>39</v>
      </c>
      <c r="F36" s="225">
        <v>30</v>
      </c>
      <c r="G36" s="225">
        <v>2</v>
      </c>
      <c r="H36" s="224">
        <v>5.5273566575692747E-2</v>
      </c>
      <c r="I36" s="95"/>
    </row>
    <row r="37" spans="2:9" s="87" customFormat="1" ht="12" x14ac:dyDescent="0.2">
      <c r="E37" s="223" t="s">
        <v>40</v>
      </c>
      <c r="F37" s="225">
        <v>40</v>
      </c>
      <c r="G37" s="225">
        <v>3</v>
      </c>
      <c r="H37" s="224">
        <v>5.8916563946017741E-2</v>
      </c>
      <c r="I37" s="95"/>
    </row>
    <row r="38" spans="2:9" s="87" customFormat="1" ht="12" x14ac:dyDescent="0.2">
      <c r="E38" s="223" t="s">
        <v>41</v>
      </c>
      <c r="F38" s="225">
        <v>50</v>
      </c>
      <c r="G38" s="225">
        <v>4</v>
      </c>
      <c r="H38" s="224">
        <v>6.6355468771706339E-2</v>
      </c>
      <c r="I38" s="95"/>
    </row>
    <row r="39" spans="2:9" s="87" customFormat="1" ht="12" x14ac:dyDescent="0.2">
      <c r="C39" s="97"/>
      <c r="D39" s="97"/>
      <c r="E39" s="223" t="s">
        <v>43</v>
      </c>
      <c r="F39" s="225">
        <v>60</v>
      </c>
      <c r="G39" s="225">
        <v>5</v>
      </c>
      <c r="H39" s="224">
        <v>7.7920397869978578E-2</v>
      </c>
      <c r="I39" s="95"/>
    </row>
    <row r="40" spans="2:9" s="87" customFormat="1" ht="12" x14ac:dyDescent="0.2">
      <c r="C40" s="100"/>
      <c r="D40" s="100"/>
      <c r="E40" s="223" t="s">
        <v>134</v>
      </c>
      <c r="F40" s="225">
        <v>70</v>
      </c>
      <c r="G40" s="225">
        <v>6</v>
      </c>
      <c r="H40" s="224">
        <v>9.0015406613837459E-2</v>
      </c>
      <c r="I40" s="95"/>
    </row>
    <row r="41" spans="2:9" s="87" customFormat="1" ht="12" x14ac:dyDescent="0.2">
      <c r="E41" s="90"/>
      <c r="F41" s="95"/>
      <c r="G41" s="91"/>
      <c r="H41" s="87" t="s">
        <v>123</v>
      </c>
      <c r="I41" s="95"/>
    </row>
    <row r="42" spans="2:9" s="87" customFormat="1" ht="12" x14ac:dyDescent="0.2"/>
    <row r="43" spans="2:9" s="63" customFormat="1" ht="12" x14ac:dyDescent="0.2">
      <c r="E43" s="87" t="s">
        <v>84</v>
      </c>
      <c r="F43" s="87"/>
      <c r="G43" s="87" t="e">
        <f>VLOOKUP(C2,F35:G40,2,TRUE)</f>
        <v>#N/A</v>
      </c>
      <c r="H43" s="87"/>
      <c r="I43" s="87"/>
    </row>
    <row r="44" spans="2:9" s="63" customFormat="1" ht="12" x14ac:dyDescent="0.2">
      <c r="E44" s="97"/>
      <c r="F44" s="97"/>
      <c r="G44" s="97"/>
      <c r="H44" s="97"/>
      <c r="I44" s="87"/>
    </row>
    <row r="45" spans="2:9" s="63" customFormat="1" ht="12" x14ac:dyDescent="0.2">
      <c r="E45" s="256" t="s">
        <v>69</v>
      </c>
      <c r="F45" s="98"/>
      <c r="G45" s="257"/>
      <c r="H45" s="98"/>
      <c r="I45" s="87"/>
    </row>
    <row r="46" spans="2:9" s="63" customFormat="1" ht="12" x14ac:dyDescent="0.2">
      <c r="E46" s="87" t="s">
        <v>121</v>
      </c>
      <c r="F46" s="87"/>
      <c r="G46" s="87">
        <v>0</v>
      </c>
      <c r="H46" s="87"/>
      <c r="I46" s="87"/>
    </row>
    <row r="47" spans="2:9" s="63" customFormat="1" ht="12" x14ac:dyDescent="0.2">
      <c r="E47" s="87" t="s">
        <v>120</v>
      </c>
      <c r="F47" s="87"/>
      <c r="G47" s="87" t="e">
        <f>VLOOKUP(G43,G35:H40,2,TRUE)</f>
        <v>#N/A</v>
      </c>
      <c r="H47" s="87"/>
      <c r="I47" s="87"/>
    </row>
    <row r="48" spans="2:9" s="63" customFormat="1" ht="12" x14ac:dyDescent="0.2"/>
    <row r="49" spans="5:8" s="63" customFormat="1" ht="12" x14ac:dyDescent="0.2">
      <c r="E49" s="71" t="s">
        <v>71</v>
      </c>
    </row>
    <row r="50" spans="5:8" s="63" customFormat="1" ht="12" x14ac:dyDescent="0.2">
      <c r="E50" s="63" t="s">
        <v>122</v>
      </c>
      <c r="G50" s="290" t="e">
        <f>100*(NORMDIST(E19,0,G47,TRUE))</f>
        <v>#NUM!</v>
      </c>
      <c r="H50" s="63" t="s">
        <v>141</v>
      </c>
    </row>
    <row r="51" spans="5:8" s="63" customFormat="1" ht="12" x14ac:dyDescent="0.2">
      <c r="E51" s="63" t="s">
        <v>126</v>
      </c>
      <c r="G51" s="66" t="e">
        <f>_xlfn.NORM.S.INV(G50/100)</f>
        <v>#NUM!</v>
      </c>
    </row>
    <row r="52" spans="5:8" s="63" customFormat="1" ht="12" x14ac:dyDescent="0.2">
      <c r="G52" s="64"/>
      <c r="H52" s="64"/>
    </row>
  </sheetData>
  <phoneticPr fontId="1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
  <sheetViews>
    <sheetView workbookViewId="0">
      <selection activeCell="D6" sqref="D6"/>
    </sheetView>
  </sheetViews>
  <sheetFormatPr defaultRowHeight="12.75" x14ac:dyDescent="0.2"/>
  <cols>
    <col min="2" max="2" width="35.85546875" customWidth="1"/>
    <col min="3" max="3" width="13.5703125" bestFit="1" customWidth="1"/>
    <col min="6" max="6" width="27.85546875" customWidth="1"/>
    <col min="10" max="10" width="4" customWidth="1"/>
    <col min="11" max="11" width="4.140625" customWidth="1"/>
    <col min="12" max="12" width="3.5703125" customWidth="1"/>
  </cols>
  <sheetData>
    <row r="1" spans="1:7" ht="18" x14ac:dyDescent="0.25">
      <c r="A1" s="27" t="s">
        <v>52</v>
      </c>
    </row>
    <row r="2" spans="1:7" x14ac:dyDescent="0.2">
      <c r="B2" s="185" t="s">
        <v>15</v>
      </c>
      <c r="C2" s="186">
        <f>forside!B8</f>
        <v>0</v>
      </c>
    </row>
    <row r="3" spans="1:7" x14ac:dyDescent="0.2">
      <c r="B3" s="187" t="s">
        <v>16</v>
      </c>
      <c r="C3" s="336">
        <f>forside!B11</f>
        <v>0</v>
      </c>
    </row>
    <row r="4" spans="1:7" x14ac:dyDescent="0.2">
      <c r="B4" s="187"/>
      <c r="C4" s="188"/>
      <c r="D4" s="2" t="s">
        <v>7</v>
      </c>
    </row>
    <row r="5" spans="1:7" x14ac:dyDescent="0.2">
      <c r="B5" s="189" t="s">
        <v>17</v>
      </c>
      <c r="C5" s="341">
        <f>forside!B32</f>
        <v>0</v>
      </c>
      <c r="D5" s="226">
        <f>_xlfn.NORM.DIST(C5,$G$7,$G$8,TRUE)*100</f>
        <v>5.1762629259041792E-2</v>
      </c>
      <c r="F5" s="158" t="s">
        <v>127</v>
      </c>
      <c r="G5" s="3">
        <f>_xlfn.NORM.S.INV(D5/100)</f>
        <v>-3.2807669151236616</v>
      </c>
    </row>
    <row r="7" spans="1:7" x14ac:dyDescent="0.2">
      <c r="B7" s="1" t="s">
        <v>5</v>
      </c>
      <c r="F7" t="s">
        <v>10</v>
      </c>
      <c r="G7" s="2">
        <f>C14</f>
        <v>10.705142444048507</v>
      </c>
    </row>
    <row r="8" spans="1:7" x14ac:dyDescent="0.2">
      <c r="B8" t="s">
        <v>1</v>
      </c>
      <c r="C8" s="37">
        <v>10.705142444048507</v>
      </c>
      <c r="F8" t="s">
        <v>8</v>
      </c>
      <c r="G8" s="3">
        <v>3.2629999999999999</v>
      </c>
    </row>
    <row r="9" spans="1:7" x14ac:dyDescent="0.2">
      <c r="B9" t="s">
        <v>2</v>
      </c>
      <c r="C9" s="37">
        <v>2.4812447641348667E-2</v>
      </c>
    </row>
    <row r="10" spans="1:7" x14ac:dyDescent="0.2">
      <c r="B10" t="s">
        <v>3</v>
      </c>
      <c r="C10" s="37">
        <v>-7.7071345843402524E-4</v>
      </c>
      <c r="G10" s="3"/>
    </row>
    <row r="11" spans="1:7" x14ac:dyDescent="0.2">
      <c r="B11" t="s">
        <v>4</v>
      </c>
      <c r="C11" s="37">
        <v>0.31727608086802245</v>
      </c>
      <c r="F11" s="1" t="s">
        <v>12</v>
      </c>
    </row>
    <row r="12" spans="1:7" x14ac:dyDescent="0.2">
      <c r="D12" s="1"/>
      <c r="F12" t="s">
        <v>25</v>
      </c>
      <c r="G12" s="15">
        <v>3.2629999999999999</v>
      </c>
    </row>
    <row r="13" spans="1:7" x14ac:dyDescent="0.2">
      <c r="C13" s="1" t="s">
        <v>6</v>
      </c>
      <c r="D13" s="2" t="s">
        <v>7</v>
      </c>
      <c r="G13" s="4"/>
    </row>
    <row r="14" spans="1:7" x14ac:dyDescent="0.2">
      <c r="B14" t="s">
        <v>0</v>
      </c>
      <c r="C14" s="9">
        <f>C8+(C2*C9)+(C2*C2*C10)+(C3*C11)</f>
        <v>10.705142444048507</v>
      </c>
      <c r="D14" s="2">
        <f>NORMDIST(C14,$G$7,$G$8,TRUE)*100</f>
        <v>50</v>
      </c>
      <c r="G14" s="4"/>
    </row>
    <row r="15" spans="1:7" x14ac:dyDescent="0.2">
      <c r="B15" t="s">
        <v>9</v>
      </c>
      <c r="C15" s="3">
        <f>C11*(C3-C17)</f>
        <v>-4.1364196848081871</v>
      </c>
      <c r="D15" s="2"/>
    </row>
    <row r="17" spans="2:17" x14ac:dyDescent="0.2">
      <c r="B17" s="5" t="s">
        <v>14</v>
      </c>
      <c r="C17" s="25">
        <v>13.037288135593229</v>
      </c>
      <c r="K17" s="30"/>
      <c r="L17" s="33"/>
      <c r="M17" s="34"/>
      <c r="N17" s="34"/>
      <c r="O17" s="30"/>
      <c r="P17" s="30"/>
      <c r="Q17" s="30"/>
    </row>
    <row r="18" spans="2:17" x14ac:dyDescent="0.2">
      <c r="C18" s="3"/>
      <c r="K18" s="26"/>
      <c r="L18" s="19"/>
      <c r="M18" s="35"/>
      <c r="N18" s="26"/>
      <c r="O18" s="19"/>
      <c r="P18" s="19"/>
      <c r="Q18" s="19"/>
    </row>
    <row r="19" spans="2:17" x14ac:dyDescent="0.2">
      <c r="K19" s="26"/>
      <c r="L19" s="19"/>
      <c r="M19" s="35"/>
      <c r="N19" s="26"/>
      <c r="O19" s="19"/>
      <c r="P19" s="19"/>
      <c r="Q1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Navngivne områder</vt:lpstr>
      </vt:variant>
      <vt:variant>
        <vt:i4>19</vt:i4>
      </vt:variant>
    </vt:vector>
  </HeadingPairs>
  <TitlesOfParts>
    <vt:vector size="36" baseType="lpstr">
      <vt:lpstr>forside</vt:lpstr>
      <vt:lpstr>forklaring</vt:lpstr>
      <vt:lpstr>SDMT</vt:lpstr>
      <vt:lpstr>RCFT ug</vt:lpstr>
      <vt:lpstr>CCR ug</vt:lpstr>
      <vt:lpstr>CCR fg</vt:lpstr>
      <vt:lpstr>dyr</vt:lpstr>
      <vt:lpstr>S-ord</vt:lpstr>
      <vt:lpstr>5-pkt</vt:lpstr>
      <vt:lpstr>TMT A</vt:lpstr>
      <vt:lpstr>TMT B</vt:lpstr>
      <vt:lpstr>RCFT kopi</vt:lpstr>
      <vt:lpstr>list K</vt:lpstr>
      <vt:lpstr>list M</vt:lpstr>
      <vt:lpstr>RMT ord</vt:lpstr>
      <vt:lpstr>RMT ans</vt:lpstr>
      <vt:lpstr>street</vt:lpstr>
      <vt:lpstr>kat_A</vt:lpstr>
      <vt:lpstr>kat_B</vt:lpstr>
      <vt:lpstr>kat_listK</vt:lpstr>
      <vt:lpstr>kat_listM</vt:lpstr>
      <vt:lpstr>kat_RCFT</vt:lpstr>
      <vt:lpstr>limit_A</vt:lpstr>
      <vt:lpstr>limit_B</vt:lpstr>
      <vt:lpstr>limit_listK</vt:lpstr>
      <vt:lpstr>limit_listM</vt:lpstr>
      <vt:lpstr>limit_RCFT</vt:lpstr>
      <vt:lpstr>pct_50ans</vt:lpstr>
      <vt:lpstr>pct_50ord</vt:lpstr>
      <vt:lpstr>RCFT_kopi</vt:lpstr>
      <vt:lpstr>residual</vt:lpstr>
      <vt:lpstr>residual_TMTA</vt:lpstr>
      <vt:lpstr>residual2</vt:lpstr>
      <vt:lpstr>TMTB_log10</vt:lpstr>
      <vt:lpstr>TMTB_Log10_316</vt:lpstr>
      <vt:lpstr>TMTB_residual</vt:lpstr>
    </vt:vector>
  </TitlesOfParts>
  <Company>Rigshospitalet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Joergensen, Kasper RH31303</dc:creator>
  <cp:lastModifiedBy>Niels Kasper Jørgensen</cp:lastModifiedBy>
  <cp:lastPrinted>2011-11-18T10:58:56Z</cp:lastPrinted>
  <dcterms:created xsi:type="dcterms:W3CDTF">2011-11-03T08:15:29Z</dcterms:created>
  <dcterms:modified xsi:type="dcterms:W3CDTF">2023-09-15T07:18:14Z</dcterms:modified>
</cp:coreProperties>
</file>